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78" i="1"/>
  <c r="H466" l="1"/>
  <c r="G466"/>
  <c r="J466"/>
  <c r="I466"/>
  <c r="F466"/>
  <c r="K468"/>
  <c r="J468"/>
  <c r="I468"/>
  <c r="H468"/>
  <c r="G468"/>
  <c r="F468"/>
  <c r="K444"/>
  <c r="J444"/>
  <c r="I444"/>
  <c r="H444"/>
  <c r="G444"/>
  <c r="F444"/>
  <c r="J443"/>
  <c r="I443"/>
  <c r="H443"/>
  <c r="G443"/>
  <c r="J441"/>
  <c r="I441"/>
  <c r="H441"/>
  <c r="G441"/>
  <c r="F443"/>
  <c r="F441"/>
  <c r="J420"/>
  <c r="I420"/>
  <c r="H420"/>
  <c r="G420"/>
  <c r="F420"/>
  <c r="J418"/>
  <c r="I418"/>
  <c r="H418"/>
  <c r="G418"/>
  <c r="F418"/>
  <c r="J395"/>
  <c r="I395"/>
  <c r="H395"/>
  <c r="G395"/>
  <c r="F395"/>
  <c r="J393"/>
  <c r="I393"/>
  <c r="H393"/>
  <c r="G393"/>
  <c r="F393"/>
  <c r="J368"/>
  <c r="I368"/>
  <c r="H368"/>
  <c r="G368"/>
  <c r="F368"/>
  <c r="J370"/>
  <c r="I370"/>
  <c r="H370"/>
  <c r="G370"/>
  <c r="F370"/>
  <c r="J345"/>
  <c r="I345"/>
  <c r="H345"/>
  <c r="G345"/>
  <c r="F345"/>
  <c r="J343"/>
  <c r="I343"/>
  <c r="H343"/>
  <c r="G343"/>
  <c r="F343"/>
  <c r="J321"/>
  <c r="I321"/>
  <c r="H321"/>
  <c r="G321"/>
  <c r="F321"/>
  <c r="J320"/>
  <c r="I320"/>
  <c r="H320"/>
  <c r="G320"/>
  <c r="F320"/>
  <c r="J318"/>
  <c r="I318"/>
  <c r="H318"/>
  <c r="G318"/>
  <c r="F318"/>
  <c r="J296"/>
  <c r="I296"/>
  <c r="H296"/>
  <c r="G296"/>
  <c r="F296"/>
  <c r="J294"/>
  <c r="I294"/>
  <c r="H294"/>
  <c r="G294"/>
  <c r="F294"/>
  <c r="J271" l="1"/>
  <c r="J269"/>
  <c r="I271"/>
  <c r="I269"/>
  <c r="H271"/>
  <c r="H269"/>
  <c r="G271"/>
  <c r="G269"/>
  <c r="F271"/>
  <c r="F269"/>
  <c r="J245"/>
  <c r="I247"/>
  <c r="I245"/>
  <c r="H247"/>
  <c r="H245"/>
  <c r="G245"/>
  <c r="F247"/>
  <c r="F245"/>
  <c r="J222"/>
  <c r="H222"/>
  <c r="G222"/>
  <c r="F222"/>
  <c r="J224"/>
  <c r="I224"/>
  <c r="H224"/>
  <c r="G224"/>
  <c r="F224"/>
  <c r="I222"/>
  <c r="J202"/>
  <c r="I202"/>
  <c r="H202"/>
  <c r="G202"/>
  <c r="F202"/>
  <c r="J201"/>
  <c r="I201"/>
  <c r="H201"/>
  <c r="G201"/>
  <c r="F201"/>
  <c r="J200"/>
  <c r="I200"/>
  <c r="H200"/>
  <c r="G200"/>
  <c r="F200"/>
  <c r="J198"/>
  <c r="I198"/>
  <c r="H198"/>
  <c r="G198"/>
  <c r="F198"/>
  <c r="J177"/>
  <c r="I177"/>
  <c r="H177"/>
  <c r="G177"/>
  <c r="F177"/>
  <c r="J175"/>
  <c r="I175"/>
  <c r="H175"/>
  <c r="G175"/>
  <c r="F175"/>
  <c r="J152"/>
  <c r="J150"/>
  <c r="I152"/>
  <c r="I150"/>
  <c r="H152"/>
  <c r="H150"/>
  <c r="G152"/>
  <c r="G150"/>
  <c r="F152"/>
  <c r="F150"/>
  <c r="J128"/>
  <c r="I128"/>
  <c r="H128"/>
  <c r="G128"/>
  <c r="F128"/>
  <c r="K103" l="1"/>
  <c r="J101"/>
  <c r="J103"/>
  <c r="I104"/>
  <c r="I103"/>
  <c r="I101"/>
  <c r="H104"/>
  <c r="H103"/>
  <c r="H101"/>
  <c r="G103"/>
  <c r="G104"/>
  <c r="G101"/>
  <c r="F103"/>
  <c r="F101"/>
  <c r="J57"/>
  <c r="J54"/>
  <c r="I56"/>
  <c r="I54"/>
  <c r="H57"/>
  <c r="H56"/>
  <c r="H54"/>
  <c r="G54"/>
  <c r="F54"/>
  <c r="J30"/>
  <c r="I30"/>
  <c r="H30"/>
  <c r="G30"/>
  <c r="F30"/>
  <c r="F439" l="1"/>
  <c r="F316"/>
  <c r="F15"/>
  <c r="H15"/>
  <c r="H39"/>
  <c r="H28"/>
  <c r="H52"/>
  <c r="H63"/>
  <c r="H76"/>
  <c r="H87"/>
  <c r="H99"/>
  <c r="H111"/>
  <c r="G488"/>
  <c r="F488"/>
  <c r="B489"/>
  <c r="A489"/>
  <c r="L488"/>
  <c r="L489" s="1"/>
  <c r="J488"/>
  <c r="I488"/>
  <c r="H488"/>
  <c r="B476"/>
  <c r="L475"/>
  <c r="J475"/>
  <c r="I475"/>
  <c r="H475"/>
  <c r="G475"/>
  <c r="G489" s="1"/>
  <c r="F475"/>
  <c r="B465"/>
  <c r="A465"/>
  <c r="L464"/>
  <c r="J464"/>
  <c r="I464"/>
  <c r="H464"/>
  <c r="G464"/>
  <c r="F464"/>
  <c r="B452"/>
  <c r="L451"/>
  <c r="J451"/>
  <c r="I451"/>
  <c r="H451"/>
  <c r="G451"/>
  <c r="F451"/>
  <c r="B440"/>
  <c r="A440"/>
  <c r="L439"/>
  <c r="L440" s="1"/>
  <c r="J439"/>
  <c r="I439"/>
  <c r="H439"/>
  <c r="G439"/>
  <c r="B427"/>
  <c r="L426"/>
  <c r="J426"/>
  <c r="I426"/>
  <c r="H426"/>
  <c r="G426"/>
  <c r="F426"/>
  <c r="F440" s="1"/>
  <c r="B417"/>
  <c r="A417"/>
  <c r="L416"/>
  <c r="J416"/>
  <c r="I416"/>
  <c r="H416"/>
  <c r="G416"/>
  <c r="F416"/>
  <c r="B404"/>
  <c r="L403"/>
  <c r="J403"/>
  <c r="I403"/>
  <c r="I417" s="1"/>
  <c r="H403"/>
  <c r="G403"/>
  <c r="F403"/>
  <c r="B392"/>
  <c r="A392"/>
  <c r="L391"/>
  <c r="J391"/>
  <c r="I391"/>
  <c r="H391"/>
  <c r="G391"/>
  <c r="F391"/>
  <c r="B379"/>
  <c r="L378"/>
  <c r="J378"/>
  <c r="I378"/>
  <c r="H378"/>
  <c r="H392" s="1"/>
  <c r="G378"/>
  <c r="F378"/>
  <c r="J254"/>
  <c r="J268" s="1"/>
  <c r="G254"/>
  <c r="F254"/>
  <c r="B367"/>
  <c r="A367"/>
  <c r="L366"/>
  <c r="J366"/>
  <c r="I366"/>
  <c r="H366"/>
  <c r="G366"/>
  <c r="F366"/>
  <c r="B354"/>
  <c r="L353"/>
  <c r="J353"/>
  <c r="J367" s="1"/>
  <c r="I353"/>
  <c r="H353"/>
  <c r="G353"/>
  <c r="F353"/>
  <c r="F367" s="1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I303"/>
  <c r="H303"/>
  <c r="G303"/>
  <c r="F303"/>
  <c r="F317" s="1"/>
  <c r="B293"/>
  <c r="A293"/>
  <c r="L292"/>
  <c r="J292"/>
  <c r="I292"/>
  <c r="H292"/>
  <c r="G292"/>
  <c r="F292"/>
  <c r="B280"/>
  <c r="L279"/>
  <c r="J279"/>
  <c r="I279"/>
  <c r="H279"/>
  <c r="G279"/>
  <c r="F279"/>
  <c r="B268"/>
  <c r="A268"/>
  <c r="L267"/>
  <c r="J267"/>
  <c r="I267"/>
  <c r="H267"/>
  <c r="G267"/>
  <c r="F267"/>
  <c r="B255"/>
  <c r="A255"/>
  <c r="L254"/>
  <c r="I254"/>
  <c r="H254"/>
  <c r="H268" s="1"/>
  <c r="F268"/>
  <c r="G440" l="1"/>
  <c r="F417"/>
  <c r="J417"/>
  <c r="H489"/>
  <c r="L465"/>
  <c r="G465"/>
  <c r="J440"/>
  <c r="G417"/>
  <c r="L417"/>
  <c r="J392"/>
  <c r="F392"/>
  <c r="H367"/>
  <c r="L342"/>
  <c r="G342"/>
  <c r="I342"/>
  <c r="J317"/>
  <c r="L268"/>
  <c r="I268"/>
  <c r="G268"/>
  <c r="G293"/>
  <c r="L293"/>
  <c r="H317"/>
  <c r="I440"/>
  <c r="I465"/>
  <c r="F465"/>
  <c r="J465"/>
  <c r="J489"/>
  <c r="H417"/>
  <c r="H440"/>
  <c r="I489"/>
  <c r="I293"/>
  <c r="H465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I197" s="1"/>
  <c r="H184"/>
  <c r="H197" s="1"/>
  <c r="G184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H149" s="1"/>
  <c r="G135"/>
  <c r="F135"/>
  <c r="B125"/>
  <c r="A125"/>
  <c r="L124"/>
  <c r="J124"/>
  <c r="I124"/>
  <c r="H124"/>
  <c r="G124"/>
  <c r="F124"/>
  <c r="B112"/>
  <c r="A112"/>
  <c r="L111"/>
  <c r="L125" s="1"/>
  <c r="J111"/>
  <c r="I111"/>
  <c r="H125"/>
  <c r="G111"/>
  <c r="G125" s="1"/>
  <c r="F111"/>
  <c r="F125" s="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G77" s="1"/>
  <c r="F63"/>
  <c r="B53"/>
  <c r="A53"/>
  <c r="L52"/>
  <c r="J52"/>
  <c r="I52"/>
  <c r="G52"/>
  <c r="F52"/>
  <c r="B40"/>
  <c r="A40"/>
  <c r="L39"/>
  <c r="J39"/>
  <c r="I39"/>
  <c r="H53"/>
  <c r="G39"/>
  <c r="G53" s="1"/>
  <c r="F39"/>
  <c r="F53" s="1"/>
  <c r="B29"/>
  <c r="A29"/>
  <c r="L28"/>
  <c r="J28"/>
  <c r="I28"/>
  <c r="G28"/>
  <c r="F28"/>
  <c r="F29" s="1"/>
  <c r="B16"/>
  <c r="A16"/>
  <c r="L15"/>
  <c r="J15"/>
  <c r="I15"/>
  <c r="G15"/>
  <c r="L221" l="1"/>
  <c r="G197"/>
  <c r="G174"/>
  <c r="G149"/>
  <c r="I125"/>
  <c r="F100"/>
  <c r="L100"/>
  <c r="I77"/>
  <c r="L29"/>
  <c r="J77"/>
  <c r="I29"/>
  <c r="I100"/>
  <c r="J29"/>
  <c r="L53"/>
  <c r="J100"/>
  <c r="I53"/>
  <c r="L77"/>
  <c r="G100"/>
  <c r="G29"/>
  <c r="H29"/>
  <c r="J53"/>
  <c r="F77"/>
  <c r="H100"/>
  <c r="J125"/>
  <c r="F149"/>
  <c r="H174"/>
  <c r="J197"/>
  <c r="F221"/>
  <c r="H244"/>
  <c r="F490" l="1"/>
  <c r="L490"/>
  <c r="J490"/>
  <c r="G490"/>
  <c r="I490"/>
  <c r="H490"/>
</calcChain>
</file>

<file path=xl/sharedStrings.xml><?xml version="1.0" encoding="utf-8"?>
<sst xmlns="http://schemas.openxmlformats.org/spreadsheetml/2006/main" count="446" uniqueCount="102">
  <si>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</si>
  <si>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</si>
  <si>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</si>
  <si>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</si>
  <si>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</si>
  <si>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</si>
  <si>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</si>
  <si>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</si>
  <si>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</si>
  <si>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</si>
  <si>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</si>
  <si>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</si>
  <si>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</si>
  <si>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</si>
  <si>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</si>
  <si>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</si>
  <si>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</si>
  <si>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</si>
  <si>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</si>
  <si>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</si>
  <si>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</si>
  <si>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</si>
  <si>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</si>
  <si>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</si>
  <si>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</si>
  <si>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</si>
  <si>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</si>
  <si>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</si>
  <si>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</si>
  <si>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</si>
  <si>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</si>
  <si>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</si>
  <si>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</si>
  <si>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</si>
  <si>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</si>
  <si>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</si>
  <si>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</si>
  <si>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</si>
  <si>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</si>
  <si>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дружба молочная с маслом+масло сливочное+сыр поциями+мармелад</t>
  </si>
  <si>
    <t>370,967,968,318,01</t>
  </si>
  <si>
    <t>Чай с молоком</t>
  </si>
  <si>
    <t>Батон белый</t>
  </si>
  <si>
    <t>Хлеб ржаной</t>
  </si>
  <si>
    <t>Фрикадельки мясные с соусом+соус томат+гарнир каша гречневая рассыпчатая</t>
  </si>
  <si>
    <t>Чай с сахаром</t>
  </si>
  <si>
    <t>611,02,492,254</t>
  </si>
  <si>
    <t>Омлет натураьный запеченный+ горошек зеленый</t>
  </si>
  <si>
    <t>Чай русский</t>
  </si>
  <si>
    <t>Коржик молочный</t>
  </si>
  <si>
    <t>443,57,01</t>
  </si>
  <si>
    <t>Хлеб пшеничный</t>
  </si>
  <si>
    <t>Каша Исландская с мясом (рис) + помирод свежий с горошком</t>
  </si>
  <si>
    <t>Чай Итальянский (с корицей)</t>
  </si>
  <si>
    <t>431,08,168</t>
  </si>
  <si>
    <t>Каша деревенская гречневая с мясом(1 вариант) + помидор свежий с кукурузой</t>
  </si>
  <si>
    <t>431,07,958</t>
  </si>
  <si>
    <t xml:space="preserve">Картофельное пюре+тефтели рыбацкие+соус сметано-томатный </t>
  </si>
  <si>
    <t>Чайный напиток Росинка</t>
  </si>
  <si>
    <t>121,03,491,252</t>
  </si>
  <si>
    <t>Пудинг творожный с рисом + соус-крем Брюле</t>
  </si>
  <si>
    <t>Булочка Ёжик</t>
  </si>
  <si>
    <t>170+478</t>
  </si>
  <si>
    <t xml:space="preserve">Макароны мясные в соусе(регатоны) + ежики мясные в соусе </t>
  </si>
  <si>
    <t>Чай Фруктовый</t>
  </si>
  <si>
    <t>268,02+41</t>
  </si>
  <si>
    <t xml:space="preserve">Каша дружба молочная с маслом + сыр порциями + масло сливочное + зефир ванильный </t>
  </si>
  <si>
    <t xml:space="preserve">Чай с молоком сгущенным </t>
  </si>
  <si>
    <t>370,968,967,316</t>
  </si>
  <si>
    <t>Каша Новгородская гречневая с курицей + помидор свежий с горошком</t>
  </si>
  <si>
    <t>530,431,08</t>
  </si>
  <si>
    <t>Запеканка печени с крупой и овощами + картофельное пюре + соус сметано - томатный</t>
  </si>
  <si>
    <t>Чай Апельсиновый</t>
  </si>
  <si>
    <t>411,252,491</t>
  </si>
  <si>
    <t>Запеканка творожно - марковная + подливка из джема или повидла</t>
  </si>
  <si>
    <t>Чай Французский (с ванилью)</t>
  </si>
  <si>
    <t xml:space="preserve">Булочка дорожная </t>
  </si>
  <si>
    <t>Гуляш мясной + гарнир рис с морковью</t>
  </si>
  <si>
    <t>Чай Русский</t>
  </si>
  <si>
    <t>91,01,201</t>
  </si>
  <si>
    <t xml:space="preserve">Каша рисовая молочная с мясом + мандарины свежие </t>
  </si>
  <si>
    <t>306,350,14</t>
  </si>
  <si>
    <t>Гарнир Рис отварной с зеленью + пудинг мясной + соус тамат</t>
  </si>
  <si>
    <t>73,02,492,16,02</t>
  </si>
  <si>
    <t>Картофельное пюре + запеканка Камчатка (рыба) + соус молочный</t>
  </si>
  <si>
    <t>Чай с брусникой св/мор</t>
  </si>
  <si>
    <t>121,01,484,252</t>
  </si>
  <si>
    <t xml:space="preserve">Запеканка Северная творожно - манная + джем фруктовый </t>
  </si>
  <si>
    <t>Булочка Домашняя</t>
  </si>
  <si>
    <t>159+812</t>
  </si>
  <si>
    <t>Сок фруктовый</t>
  </si>
  <si>
    <t xml:space="preserve">Гарнир гречка с морковью + суфле мясое Мамино + сос красный основной </t>
  </si>
  <si>
    <t>991,06,945,223,02</t>
  </si>
  <si>
    <t>МБОУ "СОШ №9"</t>
  </si>
  <si>
    <t>Директор МБОУ "СОШ№9"</t>
  </si>
  <si>
    <t>Антонцева И.Г.</t>
  </si>
  <si>
    <t>Каша дружба+запканка "Нежная" с творогом+повидло</t>
  </si>
  <si>
    <t>Чай Французкий (Сванилью)</t>
  </si>
  <si>
    <t>370,156,940</t>
  </si>
  <si>
    <t>фрукты</t>
  </si>
  <si>
    <t xml:space="preserve">Каша манная молочная с маслом </t>
  </si>
  <si>
    <t>Яблоки свежие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</si>
</sst>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344" activePane="bottomRight" state="frozen"/>
      <selection pane="topRight" activeCell="E1" sqref="E1"/>
      <selection pane="bottomLeft" activeCell="A6" sqref="A6"/>
      <selection pane="bottomRight" activeCell="E370" sqref="E37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 t="s">
        <v>94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2.25" customHeigh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10.199999999999999</v>
      </c>
      <c r="H6" s="40">
        <v>15.14</v>
      </c>
      <c r="I6" s="40">
        <v>43.18</v>
      </c>
      <c r="J6" s="40">
        <v>322.66000000000003</v>
      </c>
      <c r="K6" s="41" t="s">
        <v>40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3.09</v>
      </c>
      <c r="H8" s="43">
        <v>2.5</v>
      </c>
      <c r="I8" s="43">
        <v>13.02</v>
      </c>
      <c r="J8" s="43">
        <v>99.29</v>
      </c>
      <c r="K8" s="44">
        <v>349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3.08</v>
      </c>
      <c r="H9" s="43">
        <v>1.2</v>
      </c>
      <c r="I9" s="43">
        <v>20.04</v>
      </c>
      <c r="J9" s="43">
        <v>103.6</v>
      </c>
      <c r="K9" s="44">
        <v>588</v>
      </c>
      <c r="L9" s="43"/>
    </row>
    <row r="10" spans="1:12" ht="15">
      <c r="A10" s="23"/>
      <c r="B10" s="15"/>
      <c r="C10" s="11"/>
      <c r="D10" s="7" t="s">
        <v>23</v>
      </c>
      <c r="E10" s="42" t="s">
        <v>43</v>
      </c>
      <c r="F10" s="43">
        <v>20</v>
      </c>
      <c r="G10" s="43">
        <v>1.32</v>
      </c>
      <c r="H10" s="43">
        <v>0.24</v>
      </c>
      <c r="I10" s="43">
        <v>6.68</v>
      </c>
      <c r="J10" s="43">
        <v>34.159999999999997</v>
      </c>
      <c r="K10" s="44">
        <v>583.02</v>
      </c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32</v>
      </c>
      <c r="E15" s="9"/>
      <c r="F15" s="19">
        <f>SUM(F6:F14)</f>
        <v>500</v>
      </c>
      <c r="G15" s="19">
        <f t="shared" ref="G15:J15" si="0">SUM(G6:G14)</f>
        <v>17.689999999999998</v>
      </c>
      <c r="H15" s="19">
        <f t="shared" si="0"/>
        <v>19.079999999999998</v>
      </c>
      <c r="I15" s="19">
        <f t="shared" si="0"/>
        <v>82.920000000000016</v>
      </c>
      <c r="J15" s="19">
        <f t="shared" si="0"/>
        <v>559.71</v>
      </c>
      <c r="K15" s="25"/>
      <c r="L15" s="19">
        <f t="shared" ref="L15" si="1">SUM(L6:L14)</f>
        <v>0</v>
      </c>
    </row>
    <row r="16" spans="1:12" ht="15" hidden="1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hidden="1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hidden="1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hidden="1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hidden="1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hidden="1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hidden="1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hidden="1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hidden="1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hidden="1">
      <c r="A28" s="24"/>
      <c r="B28" s="17"/>
      <c r="C28" s="8"/>
      <c r="D28" s="18" t="s">
        <v>32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.75" thickBot="1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500</v>
      </c>
      <c r="G29" s="32">
        <f t="shared" ref="G29:J29" si="4">G15+G28</f>
        <v>17.689999999999998</v>
      </c>
      <c r="H29" s="32">
        <f t="shared" si="4"/>
        <v>19.079999999999998</v>
      </c>
      <c r="I29" s="32">
        <f t="shared" si="4"/>
        <v>82.920000000000016</v>
      </c>
      <c r="J29" s="32">
        <f t="shared" si="4"/>
        <v>559.71</v>
      </c>
      <c r="K29" s="32"/>
      <c r="L29" s="32">
        <f t="shared" ref="L29" si="5">L15+L28</f>
        <v>0</v>
      </c>
    </row>
    <row r="30" spans="1:12" ht="25.5">
      <c r="A30" s="14">
        <v>1</v>
      </c>
      <c r="B30" s="15">
        <v>2</v>
      </c>
      <c r="C30" s="22" t="s">
        <v>20</v>
      </c>
      <c r="D30" s="5" t="s">
        <v>21</v>
      </c>
      <c r="E30" s="39" t="s">
        <v>44</v>
      </c>
      <c r="F30" s="40">
        <f>50+50+140</f>
        <v>240</v>
      </c>
      <c r="G30" s="40">
        <f>7.92+0.42+6.25</f>
        <v>14.59</v>
      </c>
      <c r="H30" s="40">
        <f>6.01+1.63+7.58</f>
        <v>15.219999999999999</v>
      </c>
      <c r="I30" s="40">
        <f>4.47+2.09+30.15</f>
        <v>36.71</v>
      </c>
      <c r="J30" s="40">
        <f>99.84+24.71+189.99</f>
        <v>314.54000000000002</v>
      </c>
      <c r="K30" s="41" t="s">
        <v>46</v>
      </c>
      <c r="L30" s="40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22</v>
      </c>
      <c r="E32" s="42" t="s">
        <v>45</v>
      </c>
      <c r="F32" s="43">
        <v>200</v>
      </c>
      <c r="G32" s="43">
        <v>0.19</v>
      </c>
      <c r="H32" s="43">
        <v>0.05</v>
      </c>
      <c r="I32" s="43">
        <v>10.039999999999999</v>
      </c>
      <c r="J32" s="43">
        <v>41.33</v>
      </c>
      <c r="K32" s="44">
        <v>350</v>
      </c>
      <c r="L32" s="43"/>
    </row>
    <row r="33" spans="1:12" ht="15">
      <c r="A33" s="14"/>
      <c r="B33" s="15"/>
      <c r="C33" s="11"/>
      <c r="D33" s="7" t="s">
        <v>23</v>
      </c>
      <c r="E33" s="42" t="s">
        <v>42</v>
      </c>
      <c r="F33" s="43">
        <v>40</v>
      </c>
      <c r="G33" s="43">
        <v>3.08</v>
      </c>
      <c r="H33" s="43">
        <v>1.2</v>
      </c>
      <c r="I33" s="43">
        <v>20.04</v>
      </c>
      <c r="J33" s="43">
        <v>103.6</v>
      </c>
      <c r="K33" s="44">
        <v>588</v>
      </c>
      <c r="L33" s="43"/>
    </row>
    <row r="34" spans="1:12" ht="15">
      <c r="A34" s="14"/>
      <c r="B34" s="15"/>
      <c r="C34" s="11"/>
      <c r="D34" s="7" t="s">
        <v>23</v>
      </c>
      <c r="E34" s="42" t="s">
        <v>43</v>
      </c>
      <c r="F34" s="43">
        <v>20</v>
      </c>
      <c r="G34" s="43">
        <v>1.32</v>
      </c>
      <c r="H34" s="43">
        <v>0.24</v>
      </c>
      <c r="I34" s="43">
        <v>6.68</v>
      </c>
      <c r="J34" s="43">
        <v>34.159999999999997</v>
      </c>
      <c r="K34" s="44">
        <v>583.02</v>
      </c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32</v>
      </c>
      <c r="E39" s="9"/>
      <c r="F39" s="19">
        <f>SUM(F30:F38)</f>
        <v>500</v>
      </c>
      <c r="G39" s="19">
        <f t="shared" ref="G39" si="6">SUM(G30:G38)</f>
        <v>19.18</v>
      </c>
      <c r="H39" s="19">
        <f t="shared" ref="H39" si="7">SUM(H30:H38)</f>
        <v>16.709999999999997</v>
      </c>
      <c r="I39" s="19">
        <f t="shared" ref="I39" si="8">SUM(I30:I38)</f>
        <v>73.47</v>
      </c>
      <c r="J39" s="19">
        <f t="shared" ref="J39:L39" si="9">SUM(J30:J38)</f>
        <v>493.63</v>
      </c>
      <c r="K39" s="25"/>
      <c r="L39" s="19">
        <f t="shared" si="9"/>
        <v>0</v>
      </c>
    </row>
    <row r="40" spans="1:12" ht="15" hidden="1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42"/>
      <c r="F40" s="43"/>
      <c r="G40" s="43"/>
      <c r="H40" s="43"/>
      <c r="I40" s="43"/>
      <c r="J40" s="43"/>
      <c r="K40" s="44"/>
      <c r="L40" s="43"/>
    </row>
    <row r="41" spans="1:12" ht="15" hidden="1">
      <c r="A41" s="14"/>
      <c r="B41" s="15"/>
      <c r="C41" s="11"/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5" hidden="1">
      <c r="A42" s="14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5" hidden="1">
      <c r="A43" s="14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5" hidden="1">
      <c r="A44" s="14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5" hidden="1">
      <c r="A45" s="14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5" hidden="1">
      <c r="A46" s="14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hidden="1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hidden="1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hidden="1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hidden="1">
      <c r="A52" s="16"/>
      <c r="B52" s="17"/>
      <c r="C52" s="8"/>
      <c r="D52" s="18" t="s">
        <v>32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500</v>
      </c>
      <c r="G53" s="32">
        <f t="shared" ref="G53" si="14">G39+G52</f>
        <v>19.18</v>
      </c>
      <c r="H53" s="32">
        <f t="shared" ref="H53" si="15">H39+H52</f>
        <v>16.709999999999997</v>
      </c>
      <c r="I53" s="32">
        <f t="shared" ref="I53" si="16">I39+I52</f>
        <v>73.47</v>
      </c>
      <c r="J53" s="32">
        <f t="shared" ref="J53:L53" si="17">J39+J52</f>
        <v>493.63</v>
      </c>
      <c r="K53" s="32"/>
      <c r="L53" s="32">
        <f t="shared" si="17"/>
        <v>0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47</v>
      </c>
      <c r="F54" s="40">
        <f>85+120</f>
        <v>205</v>
      </c>
      <c r="G54" s="40">
        <f>1.45+11.18</f>
        <v>12.629999999999999</v>
      </c>
      <c r="H54" s="40">
        <f>7.57+11.63</f>
        <v>19.200000000000003</v>
      </c>
      <c r="I54" s="40">
        <f>5.08+0.86</f>
        <v>5.94</v>
      </c>
      <c r="J54" s="40">
        <f>94.21+168.47</f>
        <v>262.68</v>
      </c>
      <c r="K54" s="41" t="s">
        <v>50</v>
      </c>
      <c r="L54" s="40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22</v>
      </c>
      <c r="E56" s="42" t="s">
        <v>48</v>
      </c>
      <c r="F56" s="43">
        <v>200</v>
      </c>
      <c r="G56" s="43">
        <v>0.19</v>
      </c>
      <c r="H56" s="43">
        <f>0.05</f>
        <v>0.05</v>
      </c>
      <c r="I56" s="43">
        <f>10.04</f>
        <v>10.039999999999999</v>
      </c>
      <c r="J56" s="43">
        <v>41.33</v>
      </c>
      <c r="K56" s="44">
        <v>350.09</v>
      </c>
      <c r="L56" s="43"/>
    </row>
    <row r="57" spans="1:12" ht="15">
      <c r="A57" s="23"/>
      <c r="B57" s="15"/>
      <c r="C57" s="11"/>
      <c r="D57" s="7" t="s">
        <v>23</v>
      </c>
      <c r="E57" s="42" t="s">
        <v>49</v>
      </c>
      <c r="F57" s="43">
        <v>75</v>
      </c>
      <c r="G57" s="43">
        <v>5.2</v>
      </c>
      <c r="H57" s="43">
        <f>8.16</f>
        <v>8.16</v>
      </c>
      <c r="I57" s="43">
        <v>49.88</v>
      </c>
      <c r="J57" s="43">
        <f>233.43</f>
        <v>233.43</v>
      </c>
      <c r="K57" s="44">
        <v>215</v>
      </c>
      <c r="L57" s="43"/>
    </row>
    <row r="58" spans="1:12" ht="15">
      <c r="A58" s="23"/>
      <c r="B58" s="15"/>
      <c r="C58" s="11"/>
      <c r="D58" s="7" t="s">
        <v>23</v>
      </c>
      <c r="E58" s="42" t="s">
        <v>43</v>
      </c>
      <c r="F58" s="43">
        <v>20</v>
      </c>
      <c r="G58" s="43">
        <v>1.32</v>
      </c>
      <c r="H58" s="43">
        <v>0.24</v>
      </c>
      <c r="I58" s="43">
        <v>6.68</v>
      </c>
      <c r="J58" s="43">
        <v>34.159999999999997</v>
      </c>
      <c r="K58" s="44">
        <v>583.02</v>
      </c>
      <c r="L58" s="43"/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32</v>
      </c>
      <c r="E63" s="9"/>
      <c r="F63" s="19">
        <f>SUM(F54:F62)</f>
        <v>500</v>
      </c>
      <c r="G63" s="19">
        <f t="shared" ref="G63" si="18">SUM(G54:G62)</f>
        <v>19.34</v>
      </c>
      <c r="H63" s="19">
        <f t="shared" ref="H63" si="19">SUM(H54:H62)</f>
        <v>27.650000000000002</v>
      </c>
      <c r="I63" s="19">
        <f t="shared" ref="I63" si="20">SUM(I54:I62)</f>
        <v>72.539999999999992</v>
      </c>
      <c r="J63" s="19">
        <f t="shared" ref="J63:L63" si="21">SUM(J54:J62)</f>
        <v>571.6</v>
      </c>
      <c r="K63" s="25"/>
      <c r="L63" s="19">
        <f t="shared" si="21"/>
        <v>0</v>
      </c>
    </row>
    <row r="64" spans="1:12" ht="15" hidden="1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42"/>
      <c r="F64" s="43"/>
      <c r="G64" s="43"/>
      <c r="H64" s="43"/>
      <c r="I64" s="43"/>
      <c r="J64" s="43"/>
      <c r="K64" s="44"/>
      <c r="L64" s="43"/>
    </row>
    <row r="65" spans="1:12" ht="15" hidden="1">
      <c r="A65" s="23"/>
      <c r="B65" s="15"/>
      <c r="C65" s="11"/>
      <c r="D65" s="7" t="s">
        <v>26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>
      <c r="A66" s="23"/>
      <c r="B66" s="15"/>
      <c r="C66" s="11"/>
      <c r="D66" s="7" t="s">
        <v>27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>
      <c r="A67" s="23"/>
      <c r="B67" s="15"/>
      <c r="C67" s="11"/>
      <c r="D67" s="7" t="s">
        <v>28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>
      <c r="A68" s="23"/>
      <c r="B68" s="15"/>
      <c r="C68" s="11"/>
      <c r="D68" s="7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5" hidden="1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5" hidden="1">
      <c r="A70" s="23"/>
      <c r="B70" s="15"/>
      <c r="C70" s="11"/>
      <c r="D70" s="7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5" hidden="1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hidden="1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hidden="1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hidden="1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hidden="1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hidden="1">
      <c r="A76" s="24"/>
      <c r="B76" s="17"/>
      <c r="C76" s="8"/>
      <c r="D76" s="18" t="s">
        <v>32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thickBot="1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500</v>
      </c>
      <c r="G77" s="32">
        <f t="shared" ref="G77" si="26">G63+G76</f>
        <v>19.34</v>
      </c>
      <c r="H77" s="32">
        <f t="shared" ref="H77" si="27">H63+H76</f>
        <v>27.650000000000002</v>
      </c>
      <c r="I77" s="32">
        <f t="shared" ref="I77" si="28">I63+I76</f>
        <v>72.539999999999992</v>
      </c>
      <c r="J77" s="32">
        <f t="shared" ref="J77:L77" si="29">J63+J76</f>
        <v>571.6</v>
      </c>
      <c r="K77" s="32"/>
      <c r="L77" s="32">
        <f t="shared" si="29"/>
        <v>0</v>
      </c>
    </row>
    <row r="78" spans="1:12" ht="25.5">
      <c r="A78" s="20">
        <v>1</v>
      </c>
      <c r="B78" s="21">
        <v>4</v>
      </c>
      <c r="C78" s="22" t="s">
        <v>20</v>
      </c>
      <c r="D78" s="5" t="s">
        <v>21</v>
      </c>
      <c r="E78" s="39" t="s">
        <v>96</v>
      </c>
      <c r="F78" s="40">
        <f>160+60+20</f>
        <v>240</v>
      </c>
      <c r="G78" s="40">
        <v>12.59</v>
      </c>
      <c r="H78" s="40">
        <v>10</v>
      </c>
      <c r="I78" s="40">
        <v>21.34</v>
      </c>
      <c r="J78" s="40">
        <v>280.5</v>
      </c>
      <c r="K78" s="41" t="s">
        <v>98</v>
      </c>
      <c r="L78" s="40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22</v>
      </c>
      <c r="E80" s="42" t="s">
        <v>97</v>
      </c>
      <c r="F80" s="43">
        <v>200</v>
      </c>
      <c r="G80" s="43">
        <v>0.19</v>
      </c>
      <c r="H80" s="43">
        <v>0.05</v>
      </c>
      <c r="I80" s="43">
        <v>10.039999999999999</v>
      </c>
      <c r="J80" s="43">
        <v>41.33</v>
      </c>
      <c r="K80" s="44">
        <v>350.19</v>
      </c>
      <c r="L80" s="43"/>
    </row>
    <row r="81" spans="1:12" ht="15">
      <c r="A81" s="23"/>
      <c r="B81" s="15"/>
      <c r="C81" s="11"/>
      <c r="D81" s="7" t="s">
        <v>23</v>
      </c>
      <c r="E81" s="42" t="s">
        <v>42</v>
      </c>
      <c r="F81" s="43">
        <v>40</v>
      </c>
      <c r="G81" s="43">
        <v>3.08</v>
      </c>
      <c r="H81" s="43">
        <v>1.2</v>
      </c>
      <c r="I81" s="43">
        <v>20.04</v>
      </c>
      <c r="J81" s="43">
        <v>103.6</v>
      </c>
      <c r="K81" s="44">
        <v>588</v>
      </c>
      <c r="L81" s="43"/>
    </row>
    <row r="82" spans="1:12" ht="15">
      <c r="A82" s="23"/>
      <c r="B82" s="15"/>
      <c r="C82" s="11"/>
      <c r="D82" s="7" t="s">
        <v>23</v>
      </c>
      <c r="E82" s="42" t="s">
        <v>43</v>
      </c>
      <c r="F82" s="43">
        <v>20</v>
      </c>
      <c r="G82" s="43">
        <v>1.32</v>
      </c>
      <c r="H82" s="43">
        <v>0.24</v>
      </c>
      <c r="I82" s="43">
        <v>6.68</v>
      </c>
      <c r="J82" s="43">
        <v>34.159999999999997</v>
      </c>
      <c r="K82" s="44">
        <v>583.02</v>
      </c>
      <c r="L82" s="43"/>
    </row>
    <row r="83" spans="1:12" ht="15">
      <c r="A83" s="23"/>
      <c r="B83" s="15"/>
      <c r="C83" s="11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32</v>
      </c>
      <c r="E87" s="9"/>
      <c r="F87" s="19">
        <f>SUM(F78:F86)</f>
        <v>500</v>
      </c>
      <c r="G87" s="19">
        <f t="shared" ref="G87" si="30">SUM(G78:G86)</f>
        <v>17.18</v>
      </c>
      <c r="H87" s="19">
        <f t="shared" ref="H87" si="31">SUM(H78:H86)</f>
        <v>11.49</v>
      </c>
      <c r="I87" s="19">
        <f t="shared" ref="I87" si="32">SUM(I78:I86)</f>
        <v>58.1</v>
      </c>
      <c r="J87" s="19">
        <f t="shared" ref="J87:L87" si="33">SUM(J78:J86)</f>
        <v>459.58999999999992</v>
      </c>
      <c r="K87" s="25"/>
      <c r="L87" s="19">
        <f t="shared" si="33"/>
        <v>0</v>
      </c>
    </row>
    <row r="88" spans="1:12" ht="15" hidden="1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42"/>
      <c r="F88" s="43"/>
      <c r="G88" s="43"/>
      <c r="H88" s="43"/>
      <c r="I88" s="43"/>
      <c r="J88" s="43"/>
      <c r="K88" s="44"/>
      <c r="L88" s="43"/>
    </row>
    <row r="89" spans="1:12" ht="15" hidden="1">
      <c r="A89" s="23"/>
      <c r="B89" s="15"/>
      <c r="C89" s="11"/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hidden="1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hidden="1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hidden="1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hidden="1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hidden="1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hidden="1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hidden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>
      <c r="A99" s="24"/>
      <c r="B99" s="17"/>
      <c r="C99" s="8"/>
      <c r="D99" s="18" t="s">
        <v>32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thickBot="1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500</v>
      </c>
      <c r="G100" s="32">
        <f t="shared" ref="G100" si="38">G87+G99</f>
        <v>17.18</v>
      </c>
      <c r="H100" s="32">
        <f t="shared" ref="H100" si="39">H87+H99</f>
        <v>11.49</v>
      </c>
      <c r="I100" s="32">
        <f t="shared" ref="I100" si="40">I87+I99</f>
        <v>58.1</v>
      </c>
      <c r="J100" s="32">
        <f t="shared" ref="J100:L100" si="41">J87+J99</f>
        <v>459.58999999999992</v>
      </c>
      <c r="K100" s="32"/>
      <c r="L100" s="32">
        <f t="shared" si="41"/>
        <v>0</v>
      </c>
    </row>
    <row r="101" spans="1:12" ht="25.5">
      <c r="A101" s="20">
        <v>1</v>
      </c>
      <c r="B101" s="21">
        <v>5</v>
      </c>
      <c r="C101" s="22" t="s">
        <v>20</v>
      </c>
      <c r="D101" s="5" t="s">
        <v>21</v>
      </c>
      <c r="E101" s="39" t="s">
        <v>52</v>
      </c>
      <c r="F101" s="40">
        <f>60+180</f>
        <v>240</v>
      </c>
      <c r="G101" s="40">
        <f>1.13+11.88</f>
        <v>13.010000000000002</v>
      </c>
      <c r="H101" s="40">
        <f>5.38+10.59</f>
        <v>15.969999999999999</v>
      </c>
      <c r="I101" s="40">
        <f>3.11+29.81</f>
        <v>32.92</v>
      </c>
      <c r="J101" s="40">
        <f>64.48+256.86</f>
        <v>321.34000000000003</v>
      </c>
      <c r="K101" s="41" t="s">
        <v>54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f>200</f>
        <v>200</v>
      </c>
      <c r="G103" s="43">
        <f>0.2</f>
        <v>0.2</v>
      </c>
      <c r="H103" s="43">
        <f>0.05</f>
        <v>0.05</v>
      </c>
      <c r="I103" s="43">
        <f>10.1</f>
        <v>10.1</v>
      </c>
      <c r="J103" s="43">
        <f>41.82</f>
        <v>41.82</v>
      </c>
      <c r="K103" s="44">
        <f>350.14</f>
        <v>350.14</v>
      </c>
      <c r="L103" s="43"/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40</v>
      </c>
      <c r="G104" s="43">
        <f>3.04</f>
        <v>3.04</v>
      </c>
      <c r="H104" s="43">
        <f>0.32</f>
        <v>0.32</v>
      </c>
      <c r="I104" s="43">
        <f>19.68</f>
        <v>19.68</v>
      </c>
      <c r="J104" s="43">
        <v>93.76</v>
      </c>
      <c r="K104" s="44">
        <v>583.01</v>
      </c>
      <c r="L104" s="43"/>
    </row>
    <row r="105" spans="1:12" ht="15">
      <c r="A105" s="23"/>
      <c r="B105" s="15"/>
      <c r="C105" s="11"/>
      <c r="D105" s="7" t="s">
        <v>23</v>
      </c>
      <c r="E105" s="42" t="s">
        <v>43</v>
      </c>
      <c r="F105" s="43">
        <v>20</v>
      </c>
      <c r="G105" s="43">
        <v>1.32</v>
      </c>
      <c r="H105" s="43">
        <v>0.24</v>
      </c>
      <c r="I105" s="43">
        <v>6.68</v>
      </c>
      <c r="J105" s="43">
        <v>34.159999999999997</v>
      </c>
      <c r="K105" s="44">
        <v>583.02</v>
      </c>
      <c r="L105" s="43"/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32</v>
      </c>
      <c r="E111" s="9"/>
      <c r="F111" s="19">
        <f>SUM(F101:F110)</f>
        <v>500</v>
      </c>
      <c r="G111" s="19">
        <f t="shared" ref="G111" si="42">SUM(G101:G110)</f>
        <v>17.57</v>
      </c>
      <c r="H111" s="19">
        <f t="shared" ref="H111" si="43">SUM(H101:H110)</f>
        <v>16.579999999999998</v>
      </c>
      <c r="I111" s="19">
        <f t="shared" ref="I111" si="44">SUM(I101:I110)</f>
        <v>69.38</v>
      </c>
      <c r="J111" s="19">
        <f t="shared" ref="J111:L111" si="45">SUM(J101:J110)</f>
        <v>491.08000000000004</v>
      </c>
      <c r="K111" s="25"/>
      <c r="L111" s="19">
        <f t="shared" si="45"/>
        <v>0</v>
      </c>
    </row>
    <row r="112" spans="1:12" ht="15" hidden="1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>
      <c r="A113" s="23"/>
      <c r="B113" s="15"/>
      <c r="C113" s="11"/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hidden="1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hidden="1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hidden="1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hidden="1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hidden="1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hidden="1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hidden="1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hidden="1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hidden="1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hidden="1">
      <c r="A124" s="24"/>
      <c r="B124" s="17"/>
      <c r="C124" s="8"/>
      <c r="D124" s="18" t="s">
        <v>32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thickBot="1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500</v>
      </c>
      <c r="G125" s="32">
        <f t="shared" ref="G125" si="50">G111+G124</f>
        <v>17.57</v>
      </c>
      <c r="H125" s="32">
        <f t="shared" ref="H125" si="51">H111+H124</f>
        <v>16.579999999999998</v>
      </c>
      <c r="I125" s="32">
        <f t="shared" ref="I125" si="52">I111+I124</f>
        <v>69.38</v>
      </c>
      <c r="J125" s="32">
        <f t="shared" ref="J125:L125" si="53">J111+J124</f>
        <v>491.08000000000004</v>
      </c>
      <c r="K125" s="32"/>
      <c r="L125" s="32">
        <f t="shared" si="53"/>
        <v>0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100</v>
      </c>
      <c r="F126" s="40">
        <v>200</v>
      </c>
      <c r="G126" s="40">
        <v>9.92</v>
      </c>
      <c r="H126" s="40">
        <v>10.99</v>
      </c>
      <c r="I126" s="40">
        <v>24.75</v>
      </c>
      <c r="J126" s="40">
        <v>214.36</v>
      </c>
      <c r="K126" s="41">
        <v>302</v>
      </c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 t="s">
        <v>41</v>
      </c>
      <c r="F128" s="43">
        <f>200</f>
        <v>200</v>
      </c>
      <c r="G128" s="43">
        <f>3.09</f>
        <v>3.09</v>
      </c>
      <c r="H128" s="43">
        <f>2.5</f>
        <v>2.5</v>
      </c>
      <c r="I128" s="43">
        <f>13.02</f>
        <v>13.02</v>
      </c>
      <c r="J128" s="43">
        <f>99.29</f>
        <v>99.29</v>
      </c>
      <c r="K128" s="44">
        <v>349</v>
      </c>
      <c r="L128" s="43"/>
    </row>
    <row r="129" spans="1:12" ht="15">
      <c r="A129" s="23"/>
      <c r="B129" s="15"/>
      <c r="C129" s="11"/>
      <c r="D129" s="7" t="s">
        <v>23</v>
      </c>
      <c r="E129" s="42" t="s">
        <v>42</v>
      </c>
      <c r="F129" s="43">
        <v>40</v>
      </c>
      <c r="G129" s="43">
        <v>3.08</v>
      </c>
      <c r="H129" s="43">
        <v>1.2</v>
      </c>
      <c r="I129" s="43">
        <v>20.04</v>
      </c>
      <c r="J129" s="43">
        <v>103.6</v>
      </c>
      <c r="K129" s="44">
        <v>588</v>
      </c>
      <c r="L129" s="43"/>
    </row>
    <row r="130" spans="1:12" ht="15">
      <c r="A130" s="23"/>
      <c r="B130" s="15"/>
      <c r="C130" s="11"/>
      <c r="D130" s="7" t="s">
        <v>99</v>
      </c>
      <c r="E130" s="42" t="s">
        <v>101</v>
      </c>
      <c r="F130" s="43">
        <v>100</v>
      </c>
      <c r="G130" s="43">
        <v>0.19</v>
      </c>
      <c r="H130" s="43">
        <v>0.36</v>
      </c>
      <c r="I130" s="43">
        <v>15.25</v>
      </c>
      <c r="J130" s="43">
        <v>54</v>
      </c>
      <c r="K130" s="44">
        <v>565.01</v>
      </c>
      <c r="L130" s="43"/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32</v>
      </c>
      <c r="E135" s="9"/>
      <c r="F135" s="19">
        <f>SUM(F126:F134)</f>
        <v>540</v>
      </c>
      <c r="G135" s="19">
        <f t="shared" ref="G135:J135" si="54">SUM(G126:G134)</f>
        <v>16.28</v>
      </c>
      <c r="H135" s="19">
        <f t="shared" si="54"/>
        <v>15.049999999999999</v>
      </c>
      <c r="I135" s="19">
        <f t="shared" si="54"/>
        <v>73.06</v>
      </c>
      <c r="J135" s="19">
        <f t="shared" si="54"/>
        <v>471.25</v>
      </c>
      <c r="K135" s="25"/>
      <c r="L135" s="19">
        <f t="shared" ref="L135" si="55">SUM(L126:L134)</f>
        <v>0</v>
      </c>
    </row>
    <row r="136" spans="1:12" ht="15" hidden="1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hidden="1">
      <c r="A137" s="23"/>
      <c r="B137" s="15"/>
      <c r="C137" s="11"/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hidden="1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hidden="1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hidden="1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hidden="1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hidden="1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hidden="1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hidden="1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hidden="1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hidden="1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hidden="1">
      <c r="A148" s="24"/>
      <c r="B148" s="17"/>
      <c r="C148" s="8"/>
      <c r="D148" s="18" t="s">
        <v>32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.75" thickBot="1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540</v>
      </c>
      <c r="G149" s="32">
        <f t="shared" ref="G149" si="58">G135+G148</f>
        <v>16.28</v>
      </c>
      <c r="H149" s="32">
        <f t="shared" ref="H149" si="59">H135+H148</f>
        <v>15.049999999999999</v>
      </c>
      <c r="I149" s="32">
        <f t="shared" ref="I149" si="60">I135+I148</f>
        <v>73.06</v>
      </c>
      <c r="J149" s="32">
        <f t="shared" ref="J149:L149" si="61">J135+J148</f>
        <v>471.25</v>
      </c>
      <c r="K149" s="32"/>
      <c r="L149" s="32">
        <f t="shared" si="61"/>
        <v>0</v>
      </c>
    </row>
    <row r="150" spans="1:12" ht="25.5">
      <c r="A150" s="14">
        <v>2</v>
      </c>
      <c r="B150" s="15">
        <v>2</v>
      </c>
      <c r="C150" s="22" t="s">
        <v>20</v>
      </c>
      <c r="D150" s="5" t="s">
        <v>21</v>
      </c>
      <c r="E150" s="39" t="s">
        <v>55</v>
      </c>
      <c r="F150" s="40">
        <f>60+180</f>
        <v>240</v>
      </c>
      <c r="G150" s="40">
        <f>0.79+11.49</f>
        <v>12.280000000000001</v>
      </c>
      <c r="H150" s="40">
        <f>5.6+11.89</f>
        <v>17.490000000000002</v>
      </c>
      <c r="I150" s="40">
        <f>3.84+31.52</f>
        <v>35.36</v>
      </c>
      <c r="J150" s="40">
        <f>67.27+272.12</f>
        <v>339.39</v>
      </c>
      <c r="K150" s="41" t="s">
        <v>56</v>
      </c>
      <c r="L150" s="40"/>
    </row>
    <row r="151" spans="1:12" ht="1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22</v>
      </c>
      <c r="E152" s="42" t="s">
        <v>53</v>
      </c>
      <c r="F152" s="43">
        <f>200</f>
        <v>200</v>
      </c>
      <c r="G152" s="43">
        <f>0.2</f>
        <v>0.2</v>
      </c>
      <c r="H152" s="43">
        <f>0.05</f>
        <v>0.05</v>
      </c>
      <c r="I152" s="43">
        <f>10.1</f>
        <v>10.1</v>
      </c>
      <c r="J152" s="43">
        <f>41.82</f>
        <v>41.82</v>
      </c>
      <c r="K152" s="44">
        <v>350.14</v>
      </c>
      <c r="L152" s="43"/>
    </row>
    <row r="153" spans="1:12" ht="15">
      <c r="A153" s="14"/>
      <c r="B153" s="15"/>
      <c r="C153" s="11"/>
      <c r="D153" s="7" t="s">
        <v>23</v>
      </c>
      <c r="E153" s="42" t="s">
        <v>42</v>
      </c>
      <c r="F153" s="43">
        <v>40</v>
      </c>
      <c r="G153" s="43">
        <v>3.08</v>
      </c>
      <c r="H153" s="43">
        <v>1.2</v>
      </c>
      <c r="I153" s="43">
        <v>20.04</v>
      </c>
      <c r="J153" s="43">
        <v>103.6</v>
      </c>
      <c r="K153" s="44">
        <v>588</v>
      </c>
      <c r="L153" s="43"/>
    </row>
    <row r="154" spans="1:12" ht="15">
      <c r="A154" s="14"/>
      <c r="B154" s="15"/>
      <c r="C154" s="11"/>
      <c r="D154" s="7" t="s">
        <v>23</v>
      </c>
      <c r="E154" s="42" t="s">
        <v>43</v>
      </c>
      <c r="F154" s="43">
        <v>20</v>
      </c>
      <c r="G154" s="43">
        <v>1.32</v>
      </c>
      <c r="H154" s="43">
        <v>0.24</v>
      </c>
      <c r="I154" s="43">
        <v>6.68</v>
      </c>
      <c r="J154" s="43">
        <v>34.159999999999997</v>
      </c>
      <c r="K154" s="44">
        <v>583.02</v>
      </c>
      <c r="L154" s="43"/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32</v>
      </c>
      <c r="E160" s="9"/>
      <c r="F160" s="19">
        <f>SUM(F150:F159)</f>
        <v>500</v>
      </c>
      <c r="G160" s="19">
        <f t="shared" ref="G160:J160" si="62">SUM(G150:G159)</f>
        <v>16.88</v>
      </c>
      <c r="H160" s="19">
        <f t="shared" si="62"/>
        <v>18.98</v>
      </c>
      <c r="I160" s="19">
        <f t="shared" si="62"/>
        <v>72.180000000000007</v>
      </c>
      <c r="J160" s="19">
        <f t="shared" si="62"/>
        <v>518.96999999999991</v>
      </c>
      <c r="K160" s="25"/>
      <c r="L160" s="19">
        <f t="shared" ref="L160" si="63">SUM(L150:L159)</f>
        <v>0</v>
      </c>
    </row>
    <row r="161" spans="1:12" ht="15" hidden="1">
      <c r="A161" s="13">
        <f>A150</f>
        <v>2</v>
      </c>
      <c r="B161" s="13">
        <f>B150</f>
        <v>2</v>
      </c>
      <c r="C161" s="10" t="s">
        <v>24</v>
      </c>
      <c r="D161" s="7" t="s">
        <v>25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>
      <c r="A162" s="14"/>
      <c r="B162" s="15"/>
      <c r="C162" s="11"/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>
      <c r="A163" s="14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hidden="1">
      <c r="A164" s="14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hidden="1">
      <c r="A165" s="14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hidden="1">
      <c r="A166" s="14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hidden="1">
      <c r="A167" s="14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hidden="1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hidden="1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hidden="1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hidden="1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hidden="1">
      <c r="A173" s="16"/>
      <c r="B173" s="17"/>
      <c r="C173" s="8"/>
      <c r="D173" s="18" t="s">
        <v>32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.75" thickBot="1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500</v>
      </c>
      <c r="G174" s="32">
        <f t="shared" ref="G174" si="66">G160+G173</f>
        <v>16.88</v>
      </c>
      <c r="H174" s="32">
        <f t="shared" ref="H174" si="67">H160+H173</f>
        <v>18.98</v>
      </c>
      <c r="I174" s="32">
        <f t="shared" ref="I174" si="68">I160+I173</f>
        <v>72.180000000000007</v>
      </c>
      <c r="J174" s="32">
        <f t="shared" ref="J174:L174" si="69">J160+J173</f>
        <v>518.96999999999991</v>
      </c>
      <c r="K174" s="32"/>
      <c r="L174" s="32">
        <f t="shared" si="69"/>
        <v>0</v>
      </c>
    </row>
    <row r="175" spans="1:12" ht="25.5">
      <c r="A175" s="20">
        <v>2</v>
      </c>
      <c r="B175" s="21">
        <v>3</v>
      </c>
      <c r="C175" s="22" t="s">
        <v>20</v>
      </c>
      <c r="D175" s="5" t="s">
        <v>21</v>
      </c>
      <c r="E175" s="39" t="s">
        <v>57</v>
      </c>
      <c r="F175" s="40">
        <f>50+50+140</f>
        <v>240</v>
      </c>
      <c r="G175" s="40">
        <f>7.92+1.04+2.89</f>
        <v>11.850000000000001</v>
      </c>
      <c r="H175" s="40">
        <f>4.98+5.82+4.03</f>
        <v>14.830000000000002</v>
      </c>
      <c r="I175" s="40">
        <f>3.84+2.85+18.92</f>
        <v>25.61</v>
      </c>
      <c r="J175" s="40">
        <f>102.92+56.49+106.5</f>
        <v>265.90999999999997</v>
      </c>
      <c r="K175" s="41" t="s">
        <v>59</v>
      </c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 t="s">
        <v>58</v>
      </c>
      <c r="F177" s="43">
        <f>200</f>
        <v>200</v>
      </c>
      <c r="G177" s="43">
        <f>0.46</f>
        <v>0.46</v>
      </c>
      <c r="H177" s="43">
        <f>0.1</f>
        <v>0.1</v>
      </c>
      <c r="I177" s="43">
        <f>15.6</f>
        <v>15.6</v>
      </c>
      <c r="J177" s="43">
        <f>66.63</f>
        <v>66.63</v>
      </c>
      <c r="K177" s="44">
        <v>350.04</v>
      </c>
      <c r="L177" s="43"/>
    </row>
    <row r="178" spans="1:12" ht="15.75" customHeight="1">
      <c r="A178" s="23"/>
      <c r="B178" s="15"/>
      <c r="C178" s="11"/>
      <c r="D178" s="7" t="s">
        <v>23</v>
      </c>
      <c r="E178" s="42" t="s">
        <v>42</v>
      </c>
      <c r="F178" s="43">
        <v>40</v>
      </c>
      <c r="G178" s="43">
        <v>3.08</v>
      </c>
      <c r="H178" s="43">
        <v>1.2</v>
      </c>
      <c r="I178" s="43">
        <v>20.04</v>
      </c>
      <c r="J178" s="43">
        <v>103.6</v>
      </c>
      <c r="K178" s="44">
        <v>588</v>
      </c>
      <c r="L178" s="43"/>
    </row>
    <row r="179" spans="1:12" ht="15">
      <c r="A179" s="23"/>
      <c r="B179" s="15"/>
      <c r="C179" s="11"/>
      <c r="D179" s="7" t="s">
        <v>23</v>
      </c>
      <c r="E179" s="42" t="s">
        <v>43</v>
      </c>
      <c r="F179" s="43">
        <v>20</v>
      </c>
      <c r="G179" s="43">
        <v>1.32</v>
      </c>
      <c r="H179" s="43">
        <v>0.24</v>
      </c>
      <c r="I179" s="43">
        <v>6.68</v>
      </c>
      <c r="J179" s="43">
        <v>34.159999999999997</v>
      </c>
      <c r="K179" s="44">
        <v>583.02</v>
      </c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32</v>
      </c>
      <c r="E184" s="9"/>
      <c r="F184" s="19">
        <f>SUM(F175:F183)</f>
        <v>500</v>
      </c>
      <c r="G184" s="19">
        <f t="shared" ref="G184:J184" si="70">SUM(G175:G183)</f>
        <v>16.71</v>
      </c>
      <c r="H184" s="19">
        <f t="shared" si="70"/>
        <v>16.37</v>
      </c>
      <c r="I184" s="19">
        <f t="shared" si="70"/>
        <v>67.930000000000007</v>
      </c>
      <c r="J184" s="19">
        <f t="shared" si="70"/>
        <v>470.29999999999995</v>
      </c>
      <c r="K184" s="25"/>
      <c r="L184" s="19">
        <f t="shared" ref="L184" si="71">SUM(L175:L183)</f>
        <v>0</v>
      </c>
    </row>
    <row r="185" spans="1:12" ht="15" hidden="1">
      <c r="A185" s="26">
        <f>A175</f>
        <v>2</v>
      </c>
      <c r="B185" s="13">
        <f>B175</f>
        <v>3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hidden="1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hidden="1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hidden="1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hidden="1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hidden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hidden="1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hidden="1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hidden="1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hidden="1">
      <c r="A196" s="24"/>
      <c r="B196" s="17"/>
      <c r="C196" s="8"/>
      <c r="D196" s="18" t="s">
        <v>32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.75" thickBot="1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500</v>
      </c>
      <c r="G197" s="32">
        <f t="shared" ref="G197" si="74">G184+G196</f>
        <v>16.71</v>
      </c>
      <c r="H197" s="32">
        <f t="shared" ref="H197" si="75">H184+H196</f>
        <v>16.37</v>
      </c>
      <c r="I197" s="32">
        <f t="shared" ref="I197" si="76">I184+I196</f>
        <v>67.930000000000007</v>
      </c>
      <c r="J197" s="32">
        <f t="shared" ref="J197:L197" si="77">J184+J196</f>
        <v>470.29999999999995</v>
      </c>
      <c r="K197" s="32"/>
      <c r="L197" s="32">
        <f t="shared" si="77"/>
        <v>0</v>
      </c>
    </row>
    <row r="198" spans="1:12" ht="15">
      <c r="A198" s="20">
        <v>2</v>
      </c>
      <c r="B198" s="21">
        <v>4</v>
      </c>
      <c r="C198" s="22" t="s">
        <v>20</v>
      </c>
      <c r="D198" s="5" t="s">
        <v>21</v>
      </c>
      <c r="E198" s="39" t="s">
        <v>60</v>
      </c>
      <c r="F198" s="40">
        <f>130+50</f>
        <v>180</v>
      </c>
      <c r="G198" s="40">
        <f>12.65+1.29</f>
        <v>13.940000000000001</v>
      </c>
      <c r="H198" s="40">
        <f>12.23+2.89</f>
        <v>15.120000000000001</v>
      </c>
      <c r="I198" s="40">
        <f>24.67+9.33</f>
        <v>34</v>
      </c>
      <c r="J198" s="40">
        <f>264.36+68.54</f>
        <v>332.90000000000003</v>
      </c>
      <c r="K198" s="41" t="s">
        <v>62</v>
      </c>
      <c r="L198" s="40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22</v>
      </c>
      <c r="E200" s="42" t="s">
        <v>45</v>
      </c>
      <c r="F200" s="43">
        <f>200</f>
        <v>200</v>
      </c>
      <c r="G200" s="43">
        <f>0.19</f>
        <v>0.19</v>
      </c>
      <c r="H200" s="43">
        <f>0.05</f>
        <v>0.05</v>
      </c>
      <c r="I200" s="43">
        <f>10.04</f>
        <v>10.039999999999999</v>
      </c>
      <c r="J200" s="43">
        <f>41.33</f>
        <v>41.33</v>
      </c>
      <c r="K200" s="44">
        <v>350</v>
      </c>
      <c r="L200" s="43"/>
    </row>
    <row r="201" spans="1:12" ht="15">
      <c r="A201" s="23"/>
      <c r="B201" s="15"/>
      <c r="C201" s="11"/>
      <c r="D201" s="7" t="s">
        <v>23</v>
      </c>
      <c r="E201" s="42" t="s">
        <v>61</v>
      </c>
      <c r="F201" s="43">
        <f>80</f>
        <v>80</v>
      </c>
      <c r="G201" s="43">
        <f>2.36</f>
        <v>2.36</v>
      </c>
      <c r="H201" s="43">
        <f>2.39</f>
        <v>2.39</v>
      </c>
      <c r="I201" s="43">
        <f>22.33</f>
        <v>22.33</v>
      </c>
      <c r="J201" s="43">
        <f>133.31</f>
        <v>133.31</v>
      </c>
      <c r="K201" s="44">
        <v>205</v>
      </c>
      <c r="L201" s="43"/>
    </row>
    <row r="202" spans="1:12" ht="15">
      <c r="A202" s="23"/>
      <c r="B202" s="15"/>
      <c r="C202" s="11"/>
      <c r="D202" s="7" t="s">
        <v>23</v>
      </c>
      <c r="E202" s="42" t="s">
        <v>43</v>
      </c>
      <c r="F202" s="43">
        <f>40</f>
        <v>40</v>
      </c>
      <c r="G202" s="43">
        <f>2.64</f>
        <v>2.64</v>
      </c>
      <c r="H202" s="43">
        <f>0.48</f>
        <v>0.48</v>
      </c>
      <c r="I202" s="43">
        <f>13.36</f>
        <v>13.36</v>
      </c>
      <c r="J202" s="43">
        <f>68.32</f>
        <v>68.319999999999993</v>
      </c>
      <c r="K202" s="44">
        <v>583.02</v>
      </c>
      <c r="L202" s="43"/>
    </row>
    <row r="203" spans="1:12" ht="1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32</v>
      </c>
      <c r="E207" s="9"/>
      <c r="F207" s="19">
        <f>SUM(F198:F206)</f>
        <v>500</v>
      </c>
      <c r="G207" s="19">
        <f t="shared" ref="G207:J207" si="78">SUM(G198:G206)</f>
        <v>19.130000000000003</v>
      </c>
      <c r="H207" s="19">
        <f t="shared" si="78"/>
        <v>18.040000000000003</v>
      </c>
      <c r="I207" s="19">
        <f t="shared" si="78"/>
        <v>79.73</v>
      </c>
      <c r="J207" s="19">
        <f t="shared" si="78"/>
        <v>575.86</v>
      </c>
      <c r="K207" s="25"/>
      <c r="L207" s="19">
        <f t="shared" ref="L207" si="79">SUM(L198:L206)</f>
        <v>0</v>
      </c>
    </row>
    <row r="208" spans="1:12" ht="15" hidden="1">
      <c r="A208" s="26">
        <f>A198</f>
        <v>2</v>
      </c>
      <c r="B208" s="13">
        <f>B198</f>
        <v>4</v>
      </c>
      <c r="C208" s="10" t="s">
        <v>24</v>
      </c>
      <c r="D208" s="7" t="s">
        <v>25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hidden="1">
      <c r="A209" s="23"/>
      <c r="B209" s="15"/>
      <c r="C209" s="11"/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hidden="1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hidden="1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hidden="1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hidden="1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hidden="1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hidden="1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hidden="1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hidden="1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hidden="1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hidden="1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hidden="1">
      <c r="A220" s="24"/>
      <c r="B220" s="17"/>
      <c r="C220" s="8"/>
      <c r="D220" s="18" t="s">
        <v>32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.75" thickBot="1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500</v>
      </c>
      <c r="G221" s="32">
        <f t="shared" ref="G221" si="82">G207+G220</f>
        <v>19.130000000000003</v>
      </c>
      <c r="H221" s="32">
        <f t="shared" ref="H221" si="83">H207+H220</f>
        <v>18.040000000000003</v>
      </c>
      <c r="I221" s="32">
        <f t="shared" ref="I221" si="84">I207+I220</f>
        <v>79.73</v>
      </c>
      <c r="J221" s="32">
        <f t="shared" ref="J221:L221" si="85">J207+J220</f>
        <v>575.86</v>
      </c>
      <c r="K221" s="32"/>
      <c r="L221" s="32">
        <f t="shared" si="85"/>
        <v>0</v>
      </c>
    </row>
    <row r="222" spans="1:12" ht="25.5">
      <c r="A222" s="20">
        <v>2</v>
      </c>
      <c r="B222" s="21">
        <v>5</v>
      </c>
      <c r="C222" s="22" t="s">
        <v>20</v>
      </c>
      <c r="D222" s="5" t="s">
        <v>21</v>
      </c>
      <c r="E222" s="39" t="s">
        <v>63</v>
      </c>
      <c r="F222" s="40">
        <f>100+150</f>
        <v>250</v>
      </c>
      <c r="G222" s="40">
        <f>10.5+5.13</f>
        <v>15.629999999999999</v>
      </c>
      <c r="H222" s="40">
        <f>11.33+6.92</f>
        <v>18.25</v>
      </c>
      <c r="I222" s="40">
        <f>20.88+31.58</f>
        <v>52.459999999999994</v>
      </c>
      <c r="J222" s="40">
        <f>192.37+209.26</f>
        <v>401.63</v>
      </c>
      <c r="K222" s="41" t="s">
        <v>65</v>
      </c>
      <c r="L222" s="40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42" t="s">
        <v>64</v>
      </c>
      <c r="F224" s="43">
        <f>200</f>
        <v>200</v>
      </c>
      <c r="G224" s="43">
        <f>0.31</f>
        <v>0.31</v>
      </c>
      <c r="H224" s="43">
        <f>0.11</f>
        <v>0.11</v>
      </c>
      <c r="I224" s="43">
        <f>11.69</f>
        <v>11.69</v>
      </c>
      <c r="J224" s="43">
        <f>47.79</f>
        <v>47.79</v>
      </c>
      <c r="K224" s="44">
        <v>350.12</v>
      </c>
      <c r="L224" s="43"/>
    </row>
    <row r="225" spans="1:12" ht="15">
      <c r="A225" s="23"/>
      <c r="B225" s="15"/>
      <c r="C225" s="11"/>
      <c r="D225" s="7" t="s">
        <v>23</v>
      </c>
      <c r="E225" s="42" t="s">
        <v>42</v>
      </c>
      <c r="F225" s="43">
        <v>40</v>
      </c>
      <c r="G225" s="43">
        <v>3.08</v>
      </c>
      <c r="H225" s="43">
        <v>1.2</v>
      </c>
      <c r="I225" s="43">
        <v>20.04</v>
      </c>
      <c r="J225" s="43">
        <v>103.6</v>
      </c>
      <c r="K225" s="44">
        <v>588</v>
      </c>
      <c r="L225" s="43"/>
    </row>
    <row r="226" spans="1:12" ht="15">
      <c r="A226" s="23"/>
      <c r="B226" s="15"/>
      <c r="C226" s="11"/>
      <c r="D226" s="7" t="s">
        <v>23</v>
      </c>
      <c r="E226" s="42" t="s">
        <v>43</v>
      </c>
      <c r="F226" s="43">
        <v>20</v>
      </c>
      <c r="G226" s="43">
        <v>1.32</v>
      </c>
      <c r="H226" s="43">
        <v>0.24</v>
      </c>
      <c r="I226" s="43">
        <v>6.68</v>
      </c>
      <c r="J226" s="43">
        <v>34.159999999999997</v>
      </c>
      <c r="K226" s="44">
        <v>583.02</v>
      </c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32</v>
      </c>
      <c r="E231" s="9"/>
      <c r="F231" s="19">
        <f>SUM(F222:F230)</f>
        <v>510</v>
      </c>
      <c r="G231" s="19">
        <f t="shared" ref="G231:J231" si="86">SUM(G222:G230)</f>
        <v>20.34</v>
      </c>
      <c r="H231" s="19">
        <f t="shared" si="86"/>
        <v>19.799999999999997</v>
      </c>
      <c r="I231" s="19">
        <f t="shared" si="86"/>
        <v>90.87</v>
      </c>
      <c r="J231" s="19">
        <f t="shared" si="86"/>
        <v>587.17999999999995</v>
      </c>
      <c r="K231" s="25"/>
      <c r="L231" s="19">
        <f t="shared" ref="L231" si="87">SUM(L222:L230)</f>
        <v>0</v>
      </c>
    </row>
    <row r="232" spans="1:12" ht="15" hidden="1">
      <c r="A232" s="26">
        <f>A222</f>
        <v>2</v>
      </c>
      <c r="B232" s="13">
        <f>B222</f>
        <v>5</v>
      </c>
      <c r="C232" s="10" t="s">
        <v>24</v>
      </c>
      <c r="D232" s="7" t="s">
        <v>25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hidden="1">
      <c r="A233" s="23"/>
      <c r="B233" s="15"/>
      <c r="C233" s="11"/>
      <c r="D233" s="7" t="s">
        <v>26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hidden="1">
      <c r="A234" s="23"/>
      <c r="B234" s="15"/>
      <c r="C234" s="11"/>
      <c r="D234" s="7" t="s">
        <v>27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hidden="1">
      <c r="A235" s="23"/>
      <c r="B235" s="15"/>
      <c r="C235" s="11"/>
      <c r="D235" s="7" t="s">
        <v>28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hidden="1">
      <c r="A236" s="23"/>
      <c r="B236" s="15"/>
      <c r="C236" s="11"/>
      <c r="D236" s="7" t="s">
        <v>29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hidden="1">
      <c r="A237" s="23"/>
      <c r="B237" s="15"/>
      <c r="C237" s="11"/>
      <c r="D237" s="7" t="s">
        <v>30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hidden="1">
      <c r="A238" s="23"/>
      <c r="B238" s="15"/>
      <c r="C238" s="11"/>
      <c r="D238" s="7" t="s">
        <v>31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hidden="1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hidden="1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hidden="1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hidden="1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hidden="1">
      <c r="A243" s="24"/>
      <c r="B243" s="17"/>
      <c r="C243" s="8"/>
      <c r="D243" s="18" t="s">
        <v>32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510</v>
      </c>
      <c r="G244" s="32">
        <f t="shared" ref="G244" si="90">G231+G243</f>
        <v>20.34</v>
      </c>
      <c r="H244" s="32">
        <f t="shared" ref="H244" si="91">H231+H243</f>
        <v>19.799999999999997</v>
      </c>
      <c r="I244" s="32">
        <f t="shared" ref="I244" si="92">I231+I243</f>
        <v>90.87</v>
      </c>
      <c r="J244" s="32">
        <f t="shared" ref="J244:L244" si="93">J231+J243</f>
        <v>587.17999999999995</v>
      </c>
      <c r="K244" s="32"/>
      <c r="L244" s="32">
        <f t="shared" si="93"/>
        <v>0</v>
      </c>
    </row>
    <row r="245" spans="1:12" ht="25.5">
      <c r="A245" s="20">
        <v>3</v>
      </c>
      <c r="B245" s="21">
        <v>1</v>
      </c>
      <c r="C245" s="22" t="s">
        <v>20</v>
      </c>
      <c r="D245" s="5" t="s">
        <v>21</v>
      </c>
      <c r="E245" s="39" t="s">
        <v>66</v>
      </c>
      <c r="F245" s="40">
        <f>160+10+20+56</f>
        <v>246</v>
      </c>
      <c r="G245" s="40">
        <f>5.12+0.08+4.64+0.45</f>
        <v>10.29</v>
      </c>
      <c r="H245" s="40">
        <f>3.22+6.38+5.91+0.06</f>
        <v>15.57</v>
      </c>
      <c r="I245" s="40">
        <f>25.55+0.12+21.35</f>
        <v>47.02</v>
      </c>
      <c r="J245" s="40">
        <f>129.76+58.19+71.67+121.52</f>
        <v>381.14</v>
      </c>
      <c r="K245" s="41" t="s">
        <v>68</v>
      </c>
      <c r="L245" s="40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22</v>
      </c>
      <c r="E247" s="42" t="s">
        <v>67</v>
      </c>
      <c r="F247" s="43">
        <f>200</f>
        <v>200</v>
      </c>
      <c r="G247" s="43">
        <v>1.47</v>
      </c>
      <c r="H247" s="43">
        <f>1.53</f>
        <v>1.53</v>
      </c>
      <c r="I247" s="43">
        <f>10.14</f>
        <v>10.14</v>
      </c>
      <c r="J247" s="43">
        <v>60.12</v>
      </c>
      <c r="K247" s="44">
        <v>350.03</v>
      </c>
      <c r="L247" s="43"/>
    </row>
    <row r="248" spans="1:12" ht="15">
      <c r="A248" s="23"/>
      <c r="B248" s="15"/>
      <c r="C248" s="11"/>
      <c r="D248" s="7" t="s">
        <v>23</v>
      </c>
      <c r="E248" s="42" t="s">
        <v>42</v>
      </c>
      <c r="F248" s="43">
        <v>40</v>
      </c>
      <c r="G248" s="43">
        <v>3.08</v>
      </c>
      <c r="H248" s="43">
        <v>1.2</v>
      </c>
      <c r="I248" s="43">
        <v>20.04</v>
      </c>
      <c r="J248" s="43">
        <v>103.6</v>
      </c>
      <c r="K248" s="44">
        <v>588</v>
      </c>
      <c r="L248" s="43"/>
    </row>
    <row r="249" spans="1:12" ht="15">
      <c r="A249" s="23"/>
      <c r="B249" s="15"/>
      <c r="C249" s="11"/>
      <c r="D249" s="7" t="s">
        <v>23</v>
      </c>
      <c r="E249" s="42" t="s">
        <v>43</v>
      </c>
      <c r="F249" s="43">
        <v>20</v>
      </c>
      <c r="G249" s="43">
        <v>1.32</v>
      </c>
      <c r="H249" s="43">
        <v>0.24</v>
      </c>
      <c r="I249" s="43">
        <v>6.68</v>
      </c>
      <c r="J249" s="43">
        <v>34.159999999999997</v>
      </c>
      <c r="K249" s="44">
        <v>583.02</v>
      </c>
      <c r="L249" s="43"/>
    </row>
    <row r="250" spans="1:12" ht="1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32</v>
      </c>
      <c r="E254" s="9"/>
      <c r="F254" s="19">
        <f>SUM(F245:F253)</f>
        <v>506</v>
      </c>
      <c r="G254" s="19">
        <f>SUM(G245:G253)</f>
        <v>16.16</v>
      </c>
      <c r="H254" s="19">
        <f>SUM(H245:H253)</f>
        <v>18.54</v>
      </c>
      <c r="I254" s="19">
        <f>SUM(I245:I253)</f>
        <v>83.88</v>
      </c>
      <c r="J254" s="19">
        <f>SUM(J245:J253)</f>
        <v>579.02</v>
      </c>
      <c r="K254" s="25"/>
      <c r="L254" s="19">
        <f t="shared" ref="L254" si="94">SUM(L245:L253)</f>
        <v>0</v>
      </c>
    </row>
    <row r="255" spans="1:12" ht="15" hidden="1">
      <c r="A255" s="26">
        <f>A245</f>
        <v>3</v>
      </c>
      <c r="B255" s="13">
        <f>B245</f>
        <v>1</v>
      </c>
      <c r="C255" s="10" t="s">
        <v>24</v>
      </c>
      <c r="D255" s="7" t="s">
        <v>25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hidden="1">
      <c r="A256" s="23"/>
      <c r="B256" s="15"/>
      <c r="C256" s="11"/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hidden="1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hidden="1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hidden="1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hidden="1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hidden="1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hidden="1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hidden="1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hidden="1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hidden="1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hidden="1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hidden="1">
      <c r="A267" s="24"/>
      <c r="B267" s="17"/>
      <c r="C267" s="8"/>
      <c r="D267" s="18" t="s">
        <v>32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506</v>
      </c>
      <c r="G268" s="32">
        <f t="shared" ref="G268:J268" si="97">G254+G267</f>
        <v>16.16</v>
      </c>
      <c r="H268" s="32">
        <f t="shared" si="97"/>
        <v>18.54</v>
      </c>
      <c r="I268" s="32">
        <f t="shared" si="97"/>
        <v>83.88</v>
      </c>
      <c r="J268" s="32">
        <f t="shared" si="97"/>
        <v>579.02</v>
      </c>
      <c r="K268" s="32"/>
      <c r="L268" s="32">
        <f t="shared" ref="L268" si="98">L254+L267</f>
        <v>0</v>
      </c>
    </row>
    <row r="269" spans="1:12" ht="25.5">
      <c r="A269" s="14">
        <v>3</v>
      </c>
      <c r="B269" s="15">
        <v>2</v>
      </c>
      <c r="C269" s="22" t="s">
        <v>20</v>
      </c>
      <c r="D269" s="5" t="s">
        <v>21</v>
      </c>
      <c r="E269" s="39" t="s">
        <v>69</v>
      </c>
      <c r="F269" s="40">
        <f>40+200</f>
        <v>240</v>
      </c>
      <c r="G269" s="40">
        <f>0.76+14.41</f>
        <v>15.17</v>
      </c>
      <c r="H269" s="40">
        <f>3.59+11.55</f>
        <v>15.14</v>
      </c>
      <c r="I269" s="40">
        <f>2.07+29.07</f>
        <v>31.14</v>
      </c>
      <c r="J269" s="40">
        <f>42.99+249.65</f>
        <v>292.64</v>
      </c>
      <c r="K269" s="41" t="s">
        <v>70</v>
      </c>
      <c r="L269" s="40"/>
    </row>
    <row r="270" spans="1:12" ht="1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14"/>
      <c r="B271" s="15"/>
      <c r="C271" s="11"/>
      <c r="D271" s="7" t="s">
        <v>22</v>
      </c>
      <c r="E271" s="42" t="s">
        <v>45</v>
      </c>
      <c r="F271" s="43">
        <f>200</f>
        <v>200</v>
      </c>
      <c r="G271" s="43">
        <f>0.19</f>
        <v>0.19</v>
      </c>
      <c r="H271" s="43">
        <f>0.05</f>
        <v>0.05</v>
      </c>
      <c r="I271" s="43">
        <f>10.04</f>
        <v>10.039999999999999</v>
      </c>
      <c r="J271" s="43">
        <f>41.33</f>
        <v>41.33</v>
      </c>
      <c r="K271" s="44">
        <v>350</v>
      </c>
      <c r="L271" s="43"/>
    </row>
    <row r="272" spans="1:12" ht="15">
      <c r="A272" s="14"/>
      <c r="B272" s="15"/>
      <c r="C272" s="11"/>
      <c r="D272" s="7" t="s">
        <v>23</v>
      </c>
      <c r="E272" s="42" t="s">
        <v>42</v>
      </c>
      <c r="F272" s="43">
        <v>40</v>
      </c>
      <c r="G272" s="43">
        <v>3.08</v>
      </c>
      <c r="H272" s="43">
        <v>1.2</v>
      </c>
      <c r="I272" s="43">
        <v>20.04</v>
      </c>
      <c r="J272" s="43">
        <v>103.6</v>
      </c>
      <c r="K272" s="44">
        <v>588</v>
      </c>
      <c r="L272" s="43"/>
    </row>
    <row r="273" spans="1:12" ht="15">
      <c r="A273" s="14"/>
      <c r="B273" s="15"/>
      <c r="C273" s="11"/>
      <c r="D273" s="7" t="s">
        <v>23</v>
      </c>
      <c r="E273" s="42" t="s">
        <v>43</v>
      </c>
      <c r="F273" s="43">
        <v>20</v>
      </c>
      <c r="G273" s="43">
        <v>1.32</v>
      </c>
      <c r="H273" s="43">
        <v>0.24</v>
      </c>
      <c r="I273" s="43">
        <v>6.68</v>
      </c>
      <c r="J273" s="43">
        <v>34.159999999999997</v>
      </c>
      <c r="K273" s="44">
        <v>583.02</v>
      </c>
      <c r="L273" s="43"/>
    </row>
    <row r="274" spans="1:12" ht="1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32</v>
      </c>
      <c r="E279" s="9"/>
      <c r="F279" s="19">
        <f>SUM(F269:F278)</f>
        <v>500</v>
      </c>
      <c r="G279" s="19">
        <f t="shared" ref="G279:J279" si="99">SUM(G269:G278)</f>
        <v>19.759999999999998</v>
      </c>
      <c r="H279" s="19">
        <f t="shared" si="99"/>
        <v>16.63</v>
      </c>
      <c r="I279" s="19">
        <f t="shared" si="99"/>
        <v>67.900000000000006</v>
      </c>
      <c r="J279" s="19">
        <f t="shared" si="99"/>
        <v>471.7299999999999</v>
      </c>
      <c r="K279" s="25"/>
      <c r="L279" s="19">
        <f t="shared" ref="L279" si="100">SUM(L269:L278)</f>
        <v>0</v>
      </c>
    </row>
    <row r="280" spans="1:12" ht="14.25" hidden="1" customHeight="1">
      <c r="A280" s="13">
        <v>3</v>
      </c>
      <c r="B280" s="13">
        <f>B269</f>
        <v>2</v>
      </c>
      <c r="C280" s="10" t="s">
        <v>24</v>
      </c>
      <c r="D280" s="7" t="s">
        <v>25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hidden="1">
      <c r="A281" s="14"/>
      <c r="B281" s="15"/>
      <c r="C281" s="11"/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hidden="1">
      <c r="A282" s="14"/>
      <c r="B282" s="15"/>
      <c r="C282" s="11"/>
      <c r="D282" s="7" t="s">
        <v>27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hidden="1">
      <c r="A283" s="14"/>
      <c r="B283" s="15"/>
      <c r="C283" s="11"/>
      <c r="D283" s="7" t="s">
        <v>28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hidden="1">
      <c r="A284" s="14"/>
      <c r="B284" s="15"/>
      <c r="C284" s="11"/>
      <c r="D284" s="7" t="s">
        <v>29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hidden="1">
      <c r="A285" s="14"/>
      <c r="B285" s="15"/>
      <c r="C285" s="11"/>
      <c r="D285" s="7" t="s">
        <v>30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hidden="1">
      <c r="A286" s="14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hidden="1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hidden="1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hidden="1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hidden="1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hidden="1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hidden="1">
      <c r="A292" s="16"/>
      <c r="B292" s="17"/>
      <c r="C292" s="8"/>
      <c r="D292" s="18" t="s">
        <v>32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500</v>
      </c>
      <c r="G293" s="32">
        <f t="shared" ref="G293:J293" si="103">G279+G292</f>
        <v>19.759999999999998</v>
      </c>
      <c r="H293" s="32">
        <f t="shared" si="103"/>
        <v>16.63</v>
      </c>
      <c r="I293" s="32">
        <f t="shared" si="103"/>
        <v>67.900000000000006</v>
      </c>
      <c r="J293" s="32">
        <f t="shared" si="103"/>
        <v>471.7299999999999</v>
      </c>
      <c r="K293" s="32"/>
      <c r="L293" s="32">
        <f t="shared" ref="L293" si="104">L279+L292</f>
        <v>0</v>
      </c>
    </row>
    <row r="294" spans="1:12" ht="25.5">
      <c r="A294" s="20">
        <v>3</v>
      </c>
      <c r="B294" s="21">
        <v>3</v>
      </c>
      <c r="C294" s="22" t="s">
        <v>20</v>
      </c>
      <c r="D294" s="5" t="s">
        <v>21</v>
      </c>
      <c r="E294" s="39" t="s">
        <v>71</v>
      </c>
      <c r="F294" s="40">
        <f>60+50+130</f>
        <v>240</v>
      </c>
      <c r="G294" s="40">
        <f>6.95+1.04+2.69</f>
        <v>10.68</v>
      </c>
      <c r="H294" s="40">
        <f>4.98+5.82+3.74</f>
        <v>14.540000000000001</v>
      </c>
      <c r="I294" s="40">
        <f>9.95+2.85+17.57</f>
        <v>30.369999999999997</v>
      </c>
      <c r="J294" s="40">
        <f>132.42+56.49+98.9</f>
        <v>287.81</v>
      </c>
      <c r="K294" s="41" t="s">
        <v>73</v>
      </c>
      <c r="L294" s="40"/>
    </row>
    <row r="295" spans="1:12" ht="1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22</v>
      </c>
      <c r="E296" s="42" t="s">
        <v>72</v>
      </c>
      <c r="F296" s="43">
        <f>200</f>
        <v>200</v>
      </c>
      <c r="G296" s="43">
        <f>0.25</f>
        <v>0.25</v>
      </c>
      <c r="H296" s="43">
        <f>0.05</f>
        <v>0.05</v>
      </c>
      <c r="I296" s="43">
        <f>10.72</f>
        <v>10.72</v>
      </c>
      <c r="J296" s="43">
        <f>44.04</f>
        <v>44.04</v>
      </c>
      <c r="K296" s="44">
        <v>350.06</v>
      </c>
      <c r="L296" s="43"/>
    </row>
    <row r="297" spans="1:12" ht="15.75" customHeight="1">
      <c r="A297" s="23"/>
      <c r="B297" s="15"/>
      <c r="C297" s="11"/>
      <c r="D297" s="7" t="s">
        <v>23</v>
      </c>
      <c r="E297" s="42" t="s">
        <v>42</v>
      </c>
      <c r="F297" s="43">
        <v>40</v>
      </c>
      <c r="G297" s="43">
        <v>3.08</v>
      </c>
      <c r="H297" s="43">
        <v>1.2</v>
      </c>
      <c r="I297" s="43">
        <v>20.04</v>
      </c>
      <c r="J297" s="43">
        <v>103.6</v>
      </c>
      <c r="K297" s="44">
        <v>588</v>
      </c>
      <c r="L297" s="43"/>
    </row>
    <row r="298" spans="1:12" ht="15">
      <c r="A298" s="23"/>
      <c r="B298" s="15"/>
      <c r="C298" s="11"/>
      <c r="D298" s="7" t="s">
        <v>23</v>
      </c>
      <c r="E298" s="42" t="s">
        <v>43</v>
      </c>
      <c r="F298" s="43">
        <v>20</v>
      </c>
      <c r="G298" s="43">
        <v>1.32</v>
      </c>
      <c r="H298" s="43">
        <v>0.24</v>
      </c>
      <c r="I298" s="43">
        <v>6.68</v>
      </c>
      <c r="J298" s="43">
        <v>34.159999999999997</v>
      </c>
      <c r="K298" s="44">
        <v>583.02</v>
      </c>
      <c r="L298" s="43"/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32</v>
      </c>
      <c r="E303" s="9"/>
      <c r="F303" s="19">
        <f>SUM(F294:F302)</f>
        <v>500</v>
      </c>
      <c r="G303" s="19">
        <f t="shared" ref="G303:J303" si="105">SUM(G294:G302)</f>
        <v>15.33</v>
      </c>
      <c r="H303" s="19">
        <f t="shared" si="105"/>
        <v>16.03</v>
      </c>
      <c r="I303" s="19">
        <f t="shared" si="105"/>
        <v>67.81</v>
      </c>
      <c r="J303" s="19">
        <f t="shared" si="105"/>
        <v>469.61</v>
      </c>
      <c r="K303" s="25"/>
      <c r="L303" s="19">
        <f t="shared" ref="L303" si="106">SUM(L294:L302)</f>
        <v>0</v>
      </c>
    </row>
    <row r="304" spans="1:12" ht="15" hidden="1">
      <c r="A304" s="26">
        <v>3</v>
      </c>
      <c r="B304" s="13">
        <f>B294</f>
        <v>3</v>
      </c>
      <c r="C304" s="10" t="s">
        <v>24</v>
      </c>
      <c r="D304" s="7" t="s">
        <v>25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hidden="1">
      <c r="A305" s="23"/>
      <c r="B305" s="15"/>
      <c r="C305" s="11"/>
      <c r="D305" s="7" t="s">
        <v>26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hidden="1">
      <c r="A306" s="23"/>
      <c r="B306" s="15"/>
      <c r="C306" s="11"/>
      <c r="D306" s="7" t="s">
        <v>27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hidden="1">
      <c r="A307" s="23"/>
      <c r="B307" s="15"/>
      <c r="C307" s="11"/>
      <c r="D307" s="7" t="s">
        <v>28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hidden="1">
      <c r="A308" s="23"/>
      <c r="B308" s="15"/>
      <c r="C308" s="11"/>
      <c r="D308" s="7" t="s">
        <v>29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hidden="1">
      <c r="A309" s="23"/>
      <c r="B309" s="15"/>
      <c r="C309" s="11"/>
      <c r="D309" s="7" t="s">
        <v>30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hidden="1">
      <c r="A310" s="23"/>
      <c r="B310" s="15"/>
      <c r="C310" s="11"/>
      <c r="D310" s="7" t="s">
        <v>31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hidden="1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hidden="1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hidden="1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hidden="1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hidden="1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hidden="1">
      <c r="A316" s="24"/>
      <c r="B316" s="17"/>
      <c r="C316" s="8"/>
      <c r="D316" s="18" t="s">
        <v>32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500</v>
      </c>
      <c r="G317" s="32">
        <f t="shared" ref="G317:J317" si="109">G303+G316</f>
        <v>15.33</v>
      </c>
      <c r="H317" s="32">
        <f t="shared" si="109"/>
        <v>16.03</v>
      </c>
      <c r="I317" s="32">
        <f t="shared" si="109"/>
        <v>67.81</v>
      </c>
      <c r="J317" s="32">
        <f t="shared" si="109"/>
        <v>469.61</v>
      </c>
      <c r="K317" s="32"/>
      <c r="L317" s="32">
        <f t="shared" ref="L317" si="110">L303+L316</f>
        <v>0</v>
      </c>
    </row>
    <row r="318" spans="1:12" ht="25.5">
      <c r="A318" s="20">
        <v>3</v>
      </c>
      <c r="B318" s="21">
        <v>4</v>
      </c>
      <c r="C318" s="22" t="s">
        <v>20</v>
      </c>
      <c r="D318" s="5" t="s">
        <v>21</v>
      </c>
      <c r="E318" s="39" t="s">
        <v>74</v>
      </c>
      <c r="F318" s="40">
        <f>140+50</f>
        <v>190</v>
      </c>
      <c r="G318" s="40">
        <f>10.56+0.25</f>
        <v>10.81</v>
      </c>
      <c r="H318" s="40">
        <f>6.84+0.02</f>
        <v>6.8599999999999994</v>
      </c>
      <c r="I318" s="40">
        <f>10.1+14.21</f>
        <v>24.310000000000002</v>
      </c>
      <c r="J318" s="40">
        <f>248.25+57.07</f>
        <v>305.32</v>
      </c>
      <c r="K318" s="41">
        <v>160.94</v>
      </c>
      <c r="L318" s="40"/>
    </row>
    <row r="319" spans="1:12" ht="1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22</v>
      </c>
      <c r="E320" s="42" t="s">
        <v>75</v>
      </c>
      <c r="F320" s="43">
        <f>200</f>
        <v>200</v>
      </c>
      <c r="G320" s="43">
        <f>0.19</f>
        <v>0.19</v>
      </c>
      <c r="H320" s="43">
        <f>0.05</f>
        <v>0.05</v>
      </c>
      <c r="I320" s="43">
        <f>10.04</f>
        <v>10.039999999999999</v>
      </c>
      <c r="J320" s="43">
        <f>41.33</f>
        <v>41.33</v>
      </c>
      <c r="K320" s="44">
        <v>350.19</v>
      </c>
      <c r="L320" s="43"/>
    </row>
    <row r="321" spans="1:12" ht="15">
      <c r="A321" s="23"/>
      <c r="B321" s="15"/>
      <c r="C321" s="11"/>
      <c r="D321" s="7" t="s">
        <v>23</v>
      </c>
      <c r="E321" s="42" t="s">
        <v>76</v>
      </c>
      <c r="F321" s="43">
        <f>90</f>
        <v>90</v>
      </c>
      <c r="G321" s="43">
        <f>6.54</f>
        <v>6.54</v>
      </c>
      <c r="H321" s="43">
        <f>12.3</f>
        <v>12.3</v>
      </c>
      <c r="I321" s="43">
        <f>39.33</f>
        <v>39.33</v>
      </c>
      <c r="J321" s="43">
        <f>199.28</f>
        <v>199.28</v>
      </c>
      <c r="K321" s="44">
        <v>203.02</v>
      </c>
      <c r="L321" s="43"/>
    </row>
    <row r="322" spans="1:12" ht="15">
      <c r="A322" s="23"/>
      <c r="B322" s="15"/>
      <c r="C322" s="11"/>
      <c r="D322" s="7" t="s">
        <v>23</v>
      </c>
      <c r="E322" s="42" t="s">
        <v>43</v>
      </c>
      <c r="F322" s="43">
        <v>20</v>
      </c>
      <c r="G322" s="43">
        <v>1.32</v>
      </c>
      <c r="H322" s="43">
        <v>0.24</v>
      </c>
      <c r="I322" s="43">
        <v>6.68</v>
      </c>
      <c r="J322" s="43">
        <v>34.159999999999997</v>
      </c>
      <c r="K322" s="44">
        <v>583.02</v>
      </c>
      <c r="L322" s="43"/>
    </row>
    <row r="323" spans="1:12" ht="1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32</v>
      </c>
      <c r="E328" s="9"/>
      <c r="F328" s="19">
        <f>SUM(F318:F327)</f>
        <v>500</v>
      </c>
      <c r="G328" s="19">
        <f t="shared" ref="G328:J328" si="111">SUM(G318:G327)</f>
        <v>18.86</v>
      </c>
      <c r="H328" s="19">
        <f t="shared" si="111"/>
        <v>19.45</v>
      </c>
      <c r="I328" s="19">
        <f t="shared" si="111"/>
        <v>80.360000000000014</v>
      </c>
      <c r="J328" s="19">
        <f t="shared" si="111"/>
        <v>580.08999999999992</v>
      </c>
      <c r="K328" s="25"/>
      <c r="L328" s="19">
        <f t="shared" ref="L328" si="112">SUM(L318:L327)</f>
        <v>0</v>
      </c>
    </row>
    <row r="329" spans="1:12" ht="15" hidden="1">
      <c r="A329" s="26">
        <v>3</v>
      </c>
      <c r="B329" s="13">
        <f>B318</f>
        <v>4</v>
      </c>
      <c r="C329" s="10" t="s">
        <v>24</v>
      </c>
      <c r="D329" s="7" t="s">
        <v>25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hidden="1">
      <c r="A330" s="23"/>
      <c r="B330" s="15"/>
      <c r="C330" s="11"/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hidden="1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hidden="1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hidden="1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hidden="1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hidden="1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hidden="1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hidden="1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hidden="1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hidden="1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hidden="1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hidden="1">
      <c r="A341" s="24"/>
      <c r="B341" s="17"/>
      <c r="C341" s="8"/>
      <c r="D341" s="18" t="s">
        <v>32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500</v>
      </c>
      <c r="G342" s="32">
        <f t="shared" ref="G342:J342" si="115">G328+G341</f>
        <v>18.86</v>
      </c>
      <c r="H342" s="32">
        <f t="shared" si="115"/>
        <v>19.45</v>
      </c>
      <c r="I342" s="32">
        <f t="shared" si="115"/>
        <v>80.360000000000014</v>
      </c>
      <c r="J342" s="32">
        <f t="shared" si="115"/>
        <v>580.08999999999992</v>
      </c>
      <c r="K342" s="32"/>
      <c r="L342" s="32">
        <f t="shared" ref="L342" si="116">L328+L341</f>
        <v>0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39" t="s">
        <v>77</v>
      </c>
      <c r="F343" s="40">
        <f>90+150</f>
        <v>240</v>
      </c>
      <c r="G343" s="40">
        <f>10.8+3.85</f>
        <v>14.65</v>
      </c>
      <c r="H343" s="40">
        <f>11+6.9</f>
        <v>17.899999999999999</v>
      </c>
      <c r="I343" s="40">
        <f>12.52+28.37</f>
        <v>40.89</v>
      </c>
      <c r="J343" s="40">
        <f>226.95+180.4</f>
        <v>407.35</v>
      </c>
      <c r="K343" s="41" t="s">
        <v>79</v>
      </c>
      <c r="L343" s="40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7" t="s">
        <v>22</v>
      </c>
      <c r="E345" s="42" t="s">
        <v>78</v>
      </c>
      <c r="F345" s="43">
        <f>200</f>
        <v>200</v>
      </c>
      <c r="G345" s="43">
        <f>0.19</f>
        <v>0.19</v>
      </c>
      <c r="H345" s="43">
        <f>0.05</f>
        <v>0.05</v>
      </c>
      <c r="I345" s="43">
        <f>10.04</f>
        <v>10.039999999999999</v>
      </c>
      <c r="J345" s="43">
        <f>41.33</f>
        <v>41.33</v>
      </c>
      <c r="K345" s="44">
        <v>35.090000000000003</v>
      </c>
      <c r="L345" s="43"/>
    </row>
    <row r="346" spans="1:12" ht="15">
      <c r="A346" s="23"/>
      <c r="B346" s="15"/>
      <c r="C346" s="11"/>
      <c r="D346" s="7" t="s">
        <v>23</v>
      </c>
      <c r="E346" s="42" t="s">
        <v>42</v>
      </c>
      <c r="F346" s="43">
        <v>40</v>
      </c>
      <c r="G346" s="43">
        <v>3.08</v>
      </c>
      <c r="H346" s="43">
        <v>1.2</v>
      </c>
      <c r="I346" s="43">
        <v>20.04</v>
      </c>
      <c r="J346" s="43">
        <v>103.6</v>
      </c>
      <c r="K346" s="44">
        <v>588</v>
      </c>
      <c r="L346" s="43"/>
    </row>
    <row r="347" spans="1:12" ht="15">
      <c r="A347" s="23"/>
      <c r="B347" s="15"/>
      <c r="C347" s="11"/>
      <c r="D347" s="7" t="s">
        <v>23</v>
      </c>
      <c r="E347" s="42" t="s">
        <v>43</v>
      </c>
      <c r="F347" s="43">
        <v>20</v>
      </c>
      <c r="G347" s="43">
        <v>1.32</v>
      </c>
      <c r="H347" s="43">
        <v>0.24</v>
      </c>
      <c r="I347" s="43">
        <v>6.68</v>
      </c>
      <c r="J347" s="43">
        <v>34.159999999999997</v>
      </c>
      <c r="K347" s="44">
        <v>583.02</v>
      </c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32</v>
      </c>
      <c r="E353" s="9"/>
      <c r="F353" s="19">
        <f>SUM(F343:F352)</f>
        <v>500</v>
      </c>
      <c r="G353" s="19">
        <f t="shared" ref="G353:J353" si="117">SUM(G343:G352)</f>
        <v>19.240000000000002</v>
      </c>
      <c r="H353" s="19">
        <f t="shared" si="117"/>
        <v>19.389999999999997</v>
      </c>
      <c r="I353" s="19">
        <f t="shared" si="117"/>
        <v>77.650000000000006</v>
      </c>
      <c r="J353" s="19">
        <f t="shared" si="117"/>
        <v>586.43999999999994</v>
      </c>
      <c r="K353" s="25"/>
      <c r="L353" s="19">
        <f t="shared" ref="L353" si="118">SUM(L343:L352)</f>
        <v>0</v>
      </c>
    </row>
    <row r="354" spans="1:12" ht="15" hidden="1">
      <c r="A354" s="26">
        <v>3</v>
      </c>
      <c r="B354" s="13">
        <f>B343</f>
        <v>5</v>
      </c>
      <c r="C354" s="10" t="s">
        <v>24</v>
      </c>
      <c r="D354" s="7" t="s">
        <v>25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hidden="1">
      <c r="A355" s="23"/>
      <c r="B355" s="15"/>
      <c r="C355" s="11"/>
      <c r="D355" s="7" t="s">
        <v>26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hidden="1">
      <c r="A356" s="23"/>
      <c r="B356" s="15"/>
      <c r="C356" s="11"/>
      <c r="D356" s="7" t="s">
        <v>27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hidden="1">
      <c r="A357" s="23"/>
      <c r="B357" s="15"/>
      <c r="C357" s="11"/>
      <c r="D357" s="7" t="s">
        <v>28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hidden="1">
      <c r="A358" s="23"/>
      <c r="B358" s="15"/>
      <c r="C358" s="11"/>
      <c r="D358" s="7" t="s">
        <v>29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hidden="1">
      <c r="A359" s="23"/>
      <c r="B359" s="15"/>
      <c r="C359" s="11"/>
      <c r="D359" s="7" t="s">
        <v>30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hidden="1">
      <c r="A360" s="23"/>
      <c r="B360" s="15"/>
      <c r="C360" s="11"/>
      <c r="D360" s="7" t="s">
        <v>31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hidden="1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hidden="1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hidden="1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hidden="1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hidden="1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hidden="1">
      <c r="A366" s="24"/>
      <c r="B366" s="17"/>
      <c r="C366" s="8"/>
      <c r="D366" s="18" t="s">
        <v>32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500</v>
      </c>
      <c r="G367" s="32">
        <f t="shared" ref="G367:J367" si="121">G353+G366</f>
        <v>19.240000000000002</v>
      </c>
      <c r="H367" s="32">
        <f t="shared" si="121"/>
        <v>19.389999999999997</v>
      </c>
      <c r="I367" s="32">
        <f t="shared" si="121"/>
        <v>77.650000000000006</v>
      </c>
      <c r="J367" s="32">
        <f t="shared" si="121"/>
        <v>586.43999999999994</v>
      </c>
      <c r="K367" s="32"/>
      <c r="L367" s="32">
        <f t="shared" ref="L367" si="122">L353+L366</f>
        <v>0</v>
      </c>
    </row>
    <row r="368" spans="1:12" ht="25.5">
      <c r="A368" s="20">
        <v>4</v>
      </c>
      <c r="B368" s="21">
        <v>1</v>
      </c>
      <c r="C368" s="22" t="s">
        <v>20</v>
      </c>
      <c r="D368" s="5" t="s">
        <v>21</v>
      </c>
      <c r="E368" s="39" t="s">
        <v>80</v>
      </c>
      <c r="F368" s="40">
        <f>140+100</f>
        <v>240</v>
      </c>
      <c r="G368" s="40">
        <f>3.52+0.63</f>
        <v>4.1500000000000004</v>
      </c>
      <c r="H368" s="40">
        <f>6.76+0.19</f>
        <v>6.95</v>
      </c>
      <c r="I368" s="40">
        <f>21.48+11.19</f>
        <v>32.67</v>
      </c>
      <c r="J368" s="40">
        <f>161.16+46</f>
        <v>207.16</v>
      </c>
      <c r="K368" s="41" t="s">
        <v>81</v>
      </c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 t="s">
        <v>53</v>
      </c>
      <c r="F370" s="43">
        <f>200</f>
        <v>200</v>
      </c>
      <c r="G370" s="43">
        <f>0.2</f>
        <v>0.2</v>
      </c>
      <c r="H370" s="43">
        <f>0.05</f>
        <v>0.05</v>
      </c>
      <c r="I370" s="43">
        <f>10.1</f>
        <v>10.1</v>
      </c>
      <c r="J370" s="43">
        <f>41.82</f>
        <v>41.82</v>
      </c>
      <c r="K370" s="44">
        <v>350.14</v>
      </c>
      <c r="L370" s="43"/>
    </row>
    <row r="371" spans="1:12" ht="15">
      <c r="A371" s="23"/>
      <c r="B371" s="15"/>
      <c r="C371" s="11"/>
      <c r="D371" s="7" t="s">
        <v>23</v>
      </c>
      <c r="E371" s="42" t="s">
        <v>42</v>
      </c>
      <c r="F371" s="43">
        <v>40</v>
      </c>
      <c r="G371" s="43">
        <v>3.08</v>
      </c>
      <c r="H371" s="43">
        <v>1.2</v>
      </c>
      <c r="I371" s="43">
        <v>20.04</v>
      </c>
      <c r="J371" s="43">
        <v>103.6</v>
      </c>
      <c r="K371" s="44">
        <v>588</v>
      </c>
      <c r="L371" s="43"/>
    </row>
    <row r="372" spans="1:12" ht="15">
      <c r="A372" s="23"/>
      <c r="B372" s="15"/>
      <c r="C372" s="11"/>
      <c r="D372" s="7" t="s">
        <v>23</v>
      </c>
      <c r="E372" s="42" t="s">
        <v>43</v>
      </c>
      <c r="F372" s="43">
        <v>20</v>
      </c>
      <c r="G372" s="43">
        <v>1.32</v>
      </c>
      <c r="H372" s="43">
        <v>0.24</v>
      </c>
      <c r="I372" s="43">
        <v>6.68</v>
      </c>
      <c r="J372" s="43">
        <v>34.159999999999997</v>
      </c>
      <c r="K372" s="44">
        <v>583.02</v>
      </c>
      <c r="L372" s="43"/>
    </row>
    <row r="373" spans="1:12" ht="1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32</v>
      </c>
      <c r="E378" s="9"/>
      <c r="F378" s="19">
        <f>SUM(F368:F377)</f>
        <v>500</v>
      </c>
      <c r="G378" s="19">
        <f>SUM(G368:G377)</f>
        <v>8.75</v>
      </c>
      <c r="H378" s="19">
        <f t="shared" ref="H378:I378" si="123">SUM(H368:H377)</f>
        <v>8.44</v>
      </c>
      <c r="I378" s="19">
        <f t="shared" si="123"/>
        <v>69.490000000000009</v>
      </c>
      <c r="J378" s="19">
        <f>SUM(J368:J377)</f>
        <v>386.74</v>
      </c>
      <c r="K378" s="25"/>
      <c r="L378" s="19">
        <f t="shared" ref="L378" si="124">SUM(L368:L377)</f>
        <v>0</v>
      </c>
    </row>
    <row r="379" spans="1:12" ht="15" hidden="1">
      <c r="A379" s="26">
        <v>4</v>
      </c>
      <c r="B379" s="13">
        <f>B368</f>
        <v>1</v>
      </c>
      <c r="C379" s="10" t="s">
        <v>24</v>
      </c>
      <c r="D379" s="7" t="s">
        <v>25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hidden="1">
      <c r="A380" s="23"/>
      <c r="B380" s="15"/>
      <c r="C380" s="11"/>
      <c r="D380" s="7" t="s">
        <v>26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hidden="1">
      <c r="A381" s="23"/>
      <c r="B381" s="15"/>
      <c r="C381" s="11"/>
      <c r="D381" s="7" t="s">
        <v>27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hidden="1">
      <c r="A382" s="23"/>
      <c r="B382" s="15"/>
      <c r="C382" s="11"/>
      <c r="D382" s="7" t="s">
        <v>28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hidden="1">
      <c r="A383" s="23"/>
      <c r="B383" s="15"/>
      <c r="C383" s="11"/>
      <c r="D383" s="7" t="s">
        <v>29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hidden="1">
      <c r="A384" s="23"/>
      <c r="B384" s="15"/>
      <c r="C384" s="11"/>
      <c r="D384" s="7" t="s">
        <v>30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hidden="1">
      <c r="A385" s="23"/>
      <c r="B385" s="15"/>
      <c r="C385" s="11"/>
      <c r="D385" s="7" t="s">
        <v>31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hidden="1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hidden="1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hidden="1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hidden="1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hidden="1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hidden="1">
      <c r="A391" s="24"/>
      <c r="B391" s="17"/>
      <c r="C391" s="8"/>
      <c r="D391" s="18" t="s">
        <v>32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500</v>
      </c>
      <c r="G392" s="32">
        <f t="shared" ref="G392:J392" si="127">G378+G391</f>
        <v>8.75</v>
      </c>
      <c r="H392" s="32">
        <f t="shared" si="127"/>
        <v>8.44</v>
      </c>
      <c r="I392" s="32">
        <f t="shared" si="127"/>
        <v>69.490000000000009</v>
      </c>
      <c r="J392" s="32">
        <f t="shared" si="127"/>
        <v>386.74</v>
      </c>
      <c r="K392" s="32"/>
      <c r="L392" s="32">
        <f t="shared" ref="L392" si="128">L378+L391</f>
        <v>0</v>
      </c>
    </row>
    <row r="393" spans="1:12" ht="25.5">
      <c r="A393" s="14">
        <v>4</v>
      </c>
      <c r="B393" s="15">
        <v>2</v>
      </c>
      <c r="C393" s="22" t="s">
        <v>20</v>
      </c>
      <c r="D393" s="5" t="s">
        <v>21</v>
      </c>
      <c r="E393" s="39" t="s">
        <v>82</v>
      </c>
      <c r="F393" s="40">
        <f>60+30+150</f>
        <v>240</v>
      </c>
      <c r="G393" s="40">
        <f>6.79+0.25+3.64</f>
        <v>10.68</v>
      </c>
      <c r="H393" s="40">
        <f>11.63+0.98+4.97</f>
        <v>17.580000000000002</v>
      </c>
      <c r="I393" s="40">
        <f>3.16+1.25+36.56</f>
        <v>40.97</v>
      </c>
      <c r="J393" s="40">
        <f>135.15+14.83+205.49</f>
        <v>355.47</v>
      </c>
      <c r="K393" s="41" t="s">
        <v>83</v>
      </c>
      <c r="L393" s="40"/>
    </row>
    <row r="394" spans="1:12" ht="1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>
      <c r="A395" s="14"/>
      <c r="B395" s="15"/>
      <c r="C395" s="11"/>
      <c r="D395" s="7" t="s">
        <v>22</v>
      </c>
      <c r="E395" s="42" t="s">
        <v>58</v>
      </c>
      <c r="F395" s="43">
        <f>200</f>
        <v>200</v>
      </c>
      <c r="G395" s="43">
        <f>0.46</f>
        <v>0.46</v>
      </c>
      <c r="H395" s="43">
        <f>0.1</f>
        <v>0.1</v>
      </c>
      <c r="I395" s="43">
        <f>15.6</f>
        <v>15.6</v>
      </c>
      <c r="J395" s="43">
        <f>66.63</f>
        <v>66.63</v>
      </c>
      <c r="K395" s="44">
        <v>350.04</v>
      </c>
      <c r="L395" s="43"/>
    </row>
    <row r="396" spans="1:12" ht="15">
      <c r="A396" s="14"/>
      <c r="B396" s="15"/>
      <c r="C396" s="11"/>
      <c r="D396" s="7" t="s">
        <v>23</v>
      </c>
      <c r="E396" s="42" t="s">
        <v>42</v>
      </c>
      <c r="F396" s="43">
        <v>40</v>
      </c>
      <c r="G396" s="43">
        <v>3.08</v>
      </c>
      <c r="H396" s="43">
        <v>1.2</v>
      </c>
      <c r="I396" s="43">
        <v>20.04</v>
      </c>
      <c r="J396" s="43">
        <v>103.6</v>
      </c>
      <c r="K396" s="44">
        <v>588</v>
      </c>
      <c r="L396" s="43"/>
    </row>
    <row r="397" spans="1:12" ht="15">
      <c r="A397" s="14"/>
      <c r="B397" s="15"/>
      <c r="C397" s="11"/>
      <c r="D397" s="7" t="s">
        <v>23</v>
      </c>
      <c r="E397" s="42" t="s">
        <v>43</v>
      </c>
      <c r="F397" s="43">
        <v>20</v>
      </c>
      <c r="G397" s="43">
        <v>1.32</v>
      </c>
      <c r="H397" s="43">
        <v>0.24</v>
      </c>
      <c r="I397" s="43">
        <v>6.68</v>
      </c>
      <c r="J397" s="43">
        <v>34.159999999999997</v>
      </c>
      <c r="K397" s="44">
        <v>583.02</v>
      </c>
      <c r="L397" s="43"/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32</v>
      </c>
      <c r="E403" s="9"/>
      <c r="F403" s="19">
        <f>SUM(F393:F402)</f>
        <v>500</v>
      </c>
      <c r="G403" s="19">
        <f t="shared" ref="G403:J403" si="129">SUM(G393:G402)</f>
        <v>15.540000000000001</v>
      </c>
      <c r="H403" s="19">
        <f t="shared" si="129"/>
        <v>19.12</v>
      </c>
      <c r="I403" s="19">
        <f t="shared" si="129"/>
        <v>83.289999999999992</v>
      </c>
      <c r="J403" s="19">
        <f t="shared" si="129"/>
        <v>559.86</v>
      </c>
      <c r="K403" s="25"/>
      <c r="L403" s="19">
        <f t="shared" ref="L403" si="130">SUM(L393:L402)</f>
        <v>0</v>
      </c>
    </row>
    <row r="404" spans="1:12" ht="15" hidden="1">
      <c r="A404" s="13">
        <v>4</v>
      </c>
      <c r="B404" s="13">
        <f>B393</f>
        <v>2</v>
      </c>
      <c r="C404" s="10" t="s">
        <v>24</v>
      </c>
      <c r="D404" s="7" t="s">
        <v>25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hidden="1">
      <c r="A405" s="14"/>
      <c r="B405" s="15"/>
      <c r="C405" s="11"/>
      <c r="D405" s="7" t="s">
        <v>26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hidden="1">
      <c r="A406" s="14"/>
      <c r="B406" s="15"/>
      <c r="C406" s="11"/>
      <c r="D406" s="7" t="s">
        <v>27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hidden="1">
      <c r="A407" s="14"/>
      <c r="B407" s="15"/>
      <c r="C407" s="11"/>
      <c r="D407" s="7" t="s">
        <v>28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hidden="1">
      <c r="A408" s="14"/>
      <c r="B408" s="15"/>
      <c r="C408" s="11"/>
      <c r="D408" s="7" t="s">
        <v>29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hidden="1">
      <c r="A409" s="14"/>
      <c r="B409" s="15"/>
      <c r="C409" s="11"/>
      <c r="D409" s="7" t="s">
        <v>30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hidden="1">
      <c r="A410" s="14"/>
      <c r="B410" s="15"/>
      <c r="C410" s="11"/>
      <c r="D410" s="7" t="s">
        <v>31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hidden="1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hidden="1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hidden="1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hidden="1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hidden="1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hidden="1">
      <c r="A416" s="16"/>
      <c r="B416" s="17"/>
      <c r="C416" s="8"/>
      <c r="D416" s="18" t="s">
        <v>32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500</v>
      </c>
      <c r="G417" s="32">
        <f t="shared" ref="G417:J417" si="133">G403+G416</f>
        <v>15.540000000000001</v>
      </c>
      <c r="H417" s="32">
        <f t="shared" si="133"/>
        <v>19.12</v>
      </c>
      <c r="I417" s="32">
        <f t="shared" si="133"/>
        <v>83.289999999999992</v>
      </c>
      <c r="J417" s="32">
        <f t="shared" si="133"/>
        <v>559.86</v>
      </c>
      <c r="K417" s="32"/>
      <c r="L417" s="32">
        <f t="shared" ref="L417" si="134">L403+L416</f>
        <v>0</v>
      </c>
    </row>
    <row r="418" spans="1:12" ht="25.5">
      <c r="A418" s="20">
        <v>4</v>
      </c>
      <c r="B418" s="21">
        <v>3</v>
      </c>
      <c r="C418" s="22" t="s">
        <v>20</v>
      </c>
      <c r="D418" s="5" t="s">
        <v>21</v>
      </c>
      <c r="E418" s="39" t="s">
        <v>84</v>
      </c>
      <c r="F418" s="40">
        <f>60+30+150</f>
        <v>240</v>
      </c>
      <c r="G418" s="40">
        <f>7.65+1.04+3.1</f>
        <v>11.790000000000001</v>
      </c>
      <c r="H418" s="40">
        <f>8.1+1.88+4.32</f>
        <v>14.3</v>
      </c>
      <c r="I418" s="40">
        <f>8.7+2.41+20.27</f>
        <v>31.38</v>
      </c>
      <c r="J418" s="40">
        <f>141.89+30.86+114.11</f>
        <v>286.86</v>
      </c>
      <c r="K418" s="41" t="s">
        <v>86</v>
      </c>
      <c r="L418" s="40"/>
    </row>
    <row r="419" spans="1:12" ht="1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>
      <c r="A420" s="23"/>
      <c r="B420" s="15"/>
      <c r="C420" s="11"/>
      <c r="D420" s="7" t="s">
        <v>22</v>
      </c>
      <c r="E420" s="42" t="s">
        <v>85</v>
      </c>
      <c r="F420" s="43">
        <f>200</f>
        <v>200</v>
      </c>
      <c r="G420" s="43">
        <f>0.28</f>
        <v>0.28000000000000003</v>
      </c>
      <c r="H420" s="43">
        <f>0.09</f>
        <v>0.09</v>
      </c>
      <c r="I420" s="43">
        <f>10.98</f>
        <v>10.98</v>
      </c>
      <c r="J420" s="43">
        <f>45.69</f>
        <v>45.69</v>
      </c>
      <c r="K420" s="44">
        <v>350.15</v>
      </c>
      <c r="L420" s="43"/>
    </row>
    <row r="421" spans="1:12" ht="15.75" customHeight="1">
      <c r="A421" s="23"/>
      <c r="B421" s="15"/>
      <c r="C421" s="11"/>
      <c r="D421" s="7" t="s">
        <v>23</v>
      </c>
      <c r="E421" s="42" t="s">
        <v>42</v>
      </c>
      <c r="F421" s="43">
        <v>40</v>
      </c>
      <c r="G421" s="43">
        <v>3.08</v>
      </c>
      <c r="H421" s="43">
        <v>1.2</v>
      </c>
      <c r="I421" s="43">
        <v>20.04</v>
      </c>
      <c r="J421" s="43">
        <v>103.6</v>
      </c>
      <c r="K421" s="44">
        <v>588</v>
      </c>
      <c r="L421" s="43"/>
    </row>
    <row r="422" spans="1:12" ht="15">
      <c r="A422" s="23"/>
      <c r="B422" s="15"/>
      <c r="C422" s="11"/>
      <c r="D422" s="7" t="s">
        <v>23</v>
      </c>
      <c r="E422" s="42" t="s">
        <v>43</v>
      </c>
      <c r="F422" s="43">
        <v>20</v>
      </c>
      <c r="G422" s="43">
        <v>1.32</v>
      </c>
      <c r="H422" s="43">
        <v>0.24</v>
      </c>
      <c r="I422" s="43">
        <v>6.68</v>
      </c>
      <c r="J422" s="43">
        <v>34.159999999999997</v>
      </c>
      <c r="K422" s="44">
        <v>583.02</v>
      </c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32</v>
      </c>
      <c r="E426" s="9"/>
      <c r="F426" s="19">
        <f>SUM(F418:F425)</f>
        <v>500</v>
      </c>
      <c r="G426" s="19">
        <f t="shared" ref="G426:J426" si="135">SUM(G418:G425)</f>
        <v>16.47</v>
      </c>
      <c r="H426" s="19">
        <f t="shared" si="135"/>
        <v>15.83</v>
      </c>
      <c r="I426" s="19">
        <f t="shared" si="135"/>
        <v>69.08</v>
      </c>
      <c r="J426" s="19">
        <f t="shared" si="135"/>
        <v>470.30999999999995</v>
      </c>
      <c r="K426" s="25"/>
      <c r="L426" s="19">
        <f t="shared" ref="L426" si="136">SUM(L418:L425)</f>
        <v>0</v>
      </c>
    </row>
    <row r="427" spans="1:12" ht="15" hidden="1">
      <c r="A427" s="26">
        <v>4</v>
      </c>
      <c r="B427" s="13">
        <f>B418</f>
        <v>3</v>
      </c>
      <c r="C427" s="10" t="s">
        <v>24</v>
      </c>
      <c r="D427" s="7" t="s">
        <v>25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hidden="1">
      <c r="A428" s="23"/>
      <c r="B428" s="15"/>
      <c r="C428" s="11"/>
      <c r="D428" s="7" t="s">
        <v>26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hidden="1">
      <c r="A429" s="23"/>
      <c r="B429" s="15"/>
      <c r="C429" s="11"/>
      <c r="D429" s="7" t="s">
        <v>27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hidden="1">
      <c r="A430" s="23"/>
      <c r="B430" s="15"/>
      <c r="C430" s="11"/>
      <c r="D430" s="7" t="s">
        <v>28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hidden="1">
      <c r="A431" s="23"/>
      <c r="B431" s="15"/>
      <c r="C431" s="11"/>
      <c r="D431" s="7" t="s">
        <v>29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hidden="1">
      <c r="A432" s="23"/>
      <c r="B432" s="15"/>
      <c r="C432" s="11"/>
      <c r="D432" s="7" t="s">
        <v>30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hidden="1">
      <c r="A433" s="23"/>
      <c r="B433" s="15"/>
      <c r="C433" s="11"/>
      <c r="D433" s="7" t="s">
        <v>31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hidden="1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hidden="1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hidden="1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hidden="1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hidden="1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hidden="1">
      <c r="A439" s="24"/>
      <c r="B439" s="17"/>
      <c r="C439" s="8"/>
      <c r="D439" s="18" t="s">
        <v>32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500</v>
      </c>
      <c r="G440" s="32">
        <f t="shared" ref="G440:J440" si="139">G426+G439</f>
        <v>16.47</v>
      </c>
      <c r="H440" s="32">
        <f t="shared" si="139"/>
        <v>15.83</v>
      </c>
      <c r="I440" s="32">
        <f t="shared" si="139"/>
        <v>69.08</v>
      </c>
      <c r="J440" s="32">
        <f t="shared" si="139"/>
        <v>470.30999999999995</v>
      </c>
      <c r="K440" s="32"/>
      <c r="L440" s="32">
        <f t="shared" ref="L440" si="140">L426+L439</f>
        <v>0</v>
      </c>
    </row>
    <row r="441" spans="1:12" ht="25.5">
      <c r="A441" s="20">
        <v>4</v>
      </c>
      <c r="B441" s="21">
        <v>4</v>
      </c>
      <c r="C441" s="22" t="s">
        <v>20</v>
      </c>
      <c r="D441" s="5" t="s">
        <v>21</v>
      </c>
      <c r="E441" s="39" t="s">
        <v>87</v>
      </c>
      <c r="F441" s="40">
        <f>130+50</f>
        <v>180</v>
      </c>
      <c r="G441" s="40">
        <f>9+0.25</f>
        <v>9.25</v>
      </c>
      <c r="H441" s="40">
        <f>11.9</f>
        <v>11.9</v>
      </c>
      <c r="I441" s="40">
        <f>7.4+35.95</f>
        <v>43.35</v>
      </c>
      <c r="J441" s="40">
        <f>174+144.8</f>
        <v>318.8</v>
      </c>
      <c r="K441" s="41" t="s">
        <v>89</v>
      </c>
      <c r="L441" s="40"/>
    </row>
    <row r="442" spans="1:12" ht="1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>
      <c r="A443" s="23"/>
      <c r="B443" s="15"/>
      <c r="C443" s="11"/>
      <c r="D443" s="7" t="s">
        <v>22</v>
      </c>
      <c r="E443" s="42" t="s">
        <v>45</v>
      </c>
      <c r="F443" s="43">
        <f>200</f>
        <v>200</v>
      </c>
      <c r="G443" s="43">
        <f>0.19</f>
        <v>0.19</v>
      </c>
      <c r="H443" s="43">
        <f>0.05</f>
        <v>0.05</v>
      </c>
      <c r="I443" s="43">
        <f>10.04</f>
        <v>10.039999999999999</v>
      </c>
      <c r="J443" s="43">
        <f>41.33</f>
        <v>41.33</v>
      </c>
      <c r="K443" s="44">
        <v>350</v>
      </c>
      <c r="L443" s="43"/>
    </row>
    <row r="444" spans="1:12" ht="15">
      <c r="A444" s="23"/>
      <c r="B444" s="15"/>
      <c r="C444" s="11"/>
      <c r="D444" s="7" t="s">
        <v>23</v>
      </c>
      <c r="E444" s="42" t="s">
        <v>88</v>
      </c>
      <c r="F444" s="43">
        <f>100</f>
        <v>100</v>
      </c>
      <c r="G444" s="43">
        <f>8.93</f>
        <v>8.93</v>
      </c>
      <c r="H444" s="43">
        <f>6.89</f>
        <v>6.89</v>
      </c>
      <c r="I444" s="43">
        <f>22.2</f>
        <v>22.2</v>
      </c>
      <c r="J444" s="43">
        <f>150.2</f>
        <v>150.19999999999999</v>
      </c>
      <c r="K444" s="44">
        <f>203</f>
        <v>203</v>
      </c>
      <c r="L444" s="43"/>
    </row>
    <row r="445" spans="1:12" ht="15">
      <c r="A445" s="23"/>
      <c r="B445" s="15"/>
      <c r="C445" s="11"/>
      <c r="D445" s="7" t="s">
        <v>23</v>
      </c>
      <c r="E445" s="42" t="s">
        <v>43</v>
      </c>
      <c r="F445" s="43">
        <v>20</v>
      </c>
      <c r="G445" s="43">
        <v>1.32</v>
      </c>
      <c r="H445" s="43">
        <v>0.24</v>
      </c>
      <c r="I445" s="43">
        <v>6.68</v>
      </c>
      <c r="J445" s="43">
        <v>34.159999999999997</v>
      </c>
      <c r="K445" s="44">
        <v>583.02</v>
      </c>
      <c r="L445" s="43"/>
    </row>
    <row r="446" spans="1:12" ht="1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32</v>
      </c>
      <c r="E451" s="9"/>
      <c r="F451" s="19">
        <f>SUM(F441:F450)</f>
        <v>500</v>
      </c>
      <c r="G451" s="19">
        <f t="shared" ref="G451:J451" si="141">SUM(G441:G450)</f>
        <v>19.689999999999998</v>
      </c>
      <c r="H451" s="19">
        <f t="shared" si="141"/>
        <v>19.079999999999998</v>
      </c>
      <c r="I451" s="19">
        <f t="shared" si="141"/>
        <v>82.27000000000001</v>
      </c>
      <c r="J451" s="19">
        <f t="shared" si="141"/>
        <v>544.49</v>
      </c>
      <c r="K451" s="25"/>
      <c r="L451" s="19">
        <f t="shared" ref="L451" si="142">SUM(L441:L450)</f>
        <v>0</v>
      </c>
    </row>
    <row r="452" spans="1:12" ht="15" hidden="1">
      <c r="A452" s="26">
        <v>4</v>
      </c>
      <c r="B452" s="13">
        <f>B441</f>
        <v>4</v>
      </c>
      <c r="C452" s="10" t="s">
        <v>24</v>
      </c>
      <c r="D452" s="7" t="s">
        <v>25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hidden="1">
      <c r="A453" s="23"/>
      <c r="B453" s="15"/>
      <c r="C453" s="11"/>
      <c r="D453" s="7" t="s">
        <v>26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hidden="1">
      <c r="A454" s="23"/>
      <c r="B454" s="15"/>
      <c r="C454" s="11"/>
      <c r="D454" s="7" t="s">
        <v>27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hidden="1">
      <c r="A455" s="23"/>
      <c r="B455" s="15"/>
      <c r="C455" s="11"/>
      <c r="D455" s="7" t="s">
        <v>28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hidden="1">
      <c r="A456" s="23"/>
      <c r="B456" s="15"/>
      <c r="C456" s="11"/>
      <c r="D456" s="7" t="s">
        <v>29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hidden="1">
      <c r="A457" s="23"/>
      <c r="B457" s="15"/>
      <c r="C457" s="11"/>
      <c r="D457" s="7" t="s">
        <v>30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hidden="1">
      <c r="A458" s="23"/>
      <c r="B458" s="15"/>
      <c r="C458" s="11"/>
      <c r="D458" s="7" t="s">
        <v>31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hidden="1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hidden="1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hidden="1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hidden="1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hidden="1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hidden="1">
      <c r="A464" s="24"/>
      <c r="B464" s="17"/>
      <c r="C464" s="8"/>
      <c r="D464" s="18" t="s">
        <v>32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500</v>
      </c>
      <c r="G465" s="32">
        <f t="shared" ref="G465:J465" si="145">G451+G464</f>
        <v>19.689999999999998</v>
      </c>
      <c r="H465" s="32">
        <f t="shared" si="145"/>
        <v>19.079999999999998</v>
      </c>
      <c r="I465" s="32">
        <f t="shared" si="145"/>
        <v>82.27000000000001</v>
      </c>
      <c r="J465" s="32">
        <f t="shared" si="145"/>
        <v>544.49</v>
      </c>
      <c r="K465" s="32"/>
      <c r="L465" s="32">
        <f t="shared" ref="L465" si="146">L451+L464</f>
        <v>0</v>
      </c>
    </row>
    <row r="466" spans="1:12" ht="25.5">
      <c r="A466" s="20">
        <v>4</v>
      </c>
      <c r="B466" s="21">
        <v>5</v>
      </c>
      <c r="C466" s="22" t="s">
        <v>20</v>
      </c>
      <c r="D466" s="5" t="s">
        <v>21</v>
      </c>
      <c r="E466" s="39" t="s">
        <v>91</v>
      </c>
      <c r="F466" s="40">
        <f>50+50+140</f>
        <v>240</v>
      </c>
      <c r="G466" s="40">
        <f>6.03+0.42+5.06</f>
        <v>11.51</v>
      </c>
      <c r="H466" s="40">
        <f>10.54+0.64+5.95</f>
        <v>17.13</v>
      </c>
      <c r="I466" s="40">
        <f>5.23+3.27+22.4</f>
        <v>30.9</v>
      </c>
      <c r="J466" s="40">
        <f>139.42+19.83+163.44</f>
        <v>322.69</v>
      </c>
      <c r="K466" s="41" t="s">
        <v>92</v>
      </c>
      <c r="L466" s="40"/>
    </row>
    <row r="467" spans="1:12" ht="1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>
      <c r="A468" s="23"/>
      <c r="B468" s="15"/>
      <c r="C468" s="11"/>
      <c r="D468" s="7" t="s">
        <v>22</v>
      </c>
      <c r="E468" s="42" t="s">
        <v>90</v>
      </c>
      <c r="F468" s="43">
        <f>200</f>
        <v>200</v>
      </c>
      <c r="G468" s="43">
        <f>1</f>
        <v>1</v>
      </c>
      <c r="H468" s="43">
        <f>0.2</f>
        <v>0.2</v>
      </c>
      <c r="I468" s="43">
        <f>20.2</f>
        <v>20.2</v>
      </c>
      <c r="J468" s="43">
        <f>92</f>
        <v>92</v>
      </c>
      <c r="K468" s="44">
        <f>382</f>
        <v>382</v>
      </c>
      <c r="L468" s="43"/>
    </row>
    <row r="469" spans="1:12" ht="15">
      <c r="A469" s="23"/>
      <c r="B469" s="15"/>
      <c r="C469" s="11"/>
      <c r="D469" s="7" t="s">
        <v>23</v>
      </c>
      <c r="E469" s="42" t="s">
        <v>42</v>
      </c>
      <c r="F469" s="43">
        <v>40</v>
      </c>
      <c r="G469" s="43">
        <v>3.08</v>
      </c>
      <c r="H469" s="43">
        <v>1.2</v>
      </c>
      <c r="I469" s="43">
        <v>20.04</v>
      </c>
      <c r="J469" s="43">
        <v>103.6</v>
      </c>
      <c r="K469" s="44">
        <v>588</v>
      </c>
      <c r="L469" s="43"/>
    </row>
    <row r="470" spans="1:12" ht="15">
      <c r="A470" s="23"/>
      <c r="B470" s="15"/>
      <c r="C470" s="11"/>
      <c r="D470" s="7" t="s">
        <v>23</v>
      </c>
      <c r="E470" s="42" t="s">
        <v>43</v>
      </c>
      <c r="F470" s="43">
        <v>20</v>
      </c>
      <c r="G470" s="43">
        <v>1.32</v>
      </c>
      <c r="H470" s="43">
        <v>0.24</v>
      </c>
      <c r="I470" s="43">
        <v>6.68</v>
      </c>
      <c r="J470" s="43">
        <v>34.159999999999997</v>
      </c>
      <c r="K470" s="44">
        <v>583.02</v>
      </c>
      <c r="L470" s="43"/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32</v>
      </c>
      <c r="E475" s="9"/>
      <c r="F475" s="19">
        <f>SUM(F466:F474)</f>
        <v>500</v>
      </c>
      <c r="G475" s="19">
        <f t="shared" ref="G475:J475" si="147">SUM(G466:G474)</f>
        <v>16.91</v>
      </c>
      <c r="H475" s="19">
        <f t="shared" si="147"/>
        <v>18.769999999999996</v>
      </c>
      <c r="I475" s="19">
        <f t="shared" si="147"/>
        <v>77.819999999999993</v>
      </c>
      <c r="J475" s="19">
        <f t="shared" si="147"/>
        <v>552.44999999999993</v>
      </c>
      <c r="K475" s="25"/>
      <c r="L475" s="19">
        <f t="shared" ref="L475" si="148">SUM(L466:L474)</f>
        <v>0</v>
      </c>
    </row>
    <row r="476" spans="1:12" ht="15" hidden="1">
      <c r="A476" s="26">
        <v>4</v>
      </c>
      <c r="B476" s="13">
        <f>B466</f>
        <v>5</v>
      </c>
      <c r="C476" s="10" t="s">
        <v>24</v>
      </c>
      <c r="D476" s="7" t="s">
        <v>25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hidden="1">
      <c r="A477" s="23"/>
      <c r="B477" s="15"/>
      <c r="C477" s="11"/>
      <c r="D477" s="7" t="s">
        <v>26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hidden="1">
      <c r="A478" s="23"/>
      <c r="B478" s="15"/>
      <c r="C478" s="11"/>
      <c r="D478" s="7" t="s">
        <v>27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hidden="1">
      <c r="A479" s="23"/>
      <c r="B479" s="15"/>
      <c r="C479" s="11"/>
      <c r="D479" s="7" t="s">
        <v>28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hidden="1">
      <c r="A480" s="23"/>
      <c r="B480" s="15"/>
      <c r="C480" s="11"/>
      <c r="D480" s="7" t="s">
        <v>29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hidden="1">
      <c r="A481" s="23"/>
      <c r="B481" s="15"/>
      <c r="C481" s="11"/>
      <c r="D481" s="7" t="s">
        <v>30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hidden="1">
      <c r="A482" s="23"/>
      <c r="B482" s="15"/>
      <c r="C482" s="11"/>
      <c r="D482" s="7" t="s">
        <v>31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hidden="1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hidden="1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hidden="1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hidden="1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hidden="1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hidden="1">
      <c r="A488" s="24"/>
      <c r="B488" s="17"/>
      <c r="C488" s="8"/>
      <c r="D488" s="18" t="s">
        <v>32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500</v>
      </c>
      <c r="G489" s="32">
        <f t="shared" ref="G489:J489" si="151">G475+G488</f>
        <v>16.91</v>
      </c>
      <c r="H489" s="32">
        <f t="shared" si="151"/>
        <v>18.769999999999996</v>
      </c>
      <c r="I489" s="32">
        <f t="shared" si="151"/>
        <v>77.819999999999993</v>
      </c>
      <c r="J489" s="32">
        <f t="shared" si="151"/>
        <v>552.44999999999993</v>
      </c>
      <c r="K489" s="32"/>
      <c r="L489" s="32">
        <f t="shared" ref="L489" si="152">L475+L488</f>
        <v>0</v>
      </c>
    </row>
    <row r="490" spans="1:12" ht="13.5" thickBot="1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502.8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17.3505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17.551499999999997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74.986500000000007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519.99549999999988</v>
      </c>
      <c r="K490" s="34" t="s">
        <v>38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10134086</cp:lastModifiedBy>
  <dcterms:created xsi:type="dcterms:W3CDTF">2022-05-16T14:23:56Z</dcterms:created>
  <dcterms:modified xsi:type="dcterms:W3CDTF">2025-03-12T05:41:01Z</dcterms:modified>
</cp:coreProperties>
</file>